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BT2.17.Vize\ders uygulamaları\"/>
    </mc:Choice>
  </mc:AlternateContent>
  <bookViews>
    <workbookView xWindow="0" yWindow="0" windowWidth="28800" windowHeight="12345"/>
  </bookViews>
  <sheets>
    <sheet name="Giriş" sheetId="9" r:id="rId1"/>
    <sheet name="Otomatik Doldurma" sheetId="7" r:id="rId2"/>
    <sheet name="Ad Tanımlama" sheetId="8" r:id="rId3"/>
    <sheet name="Değişikliklere Duyarlı" sheetId="6" r:id="rId4"/>
    <sheet name="Otomobil Satış" sheetId="2" r:id="rId5"/>
    <sheet name="Sayı Fonksiyonları I" sheetId="3" r:id="rId6"/>
    <sheet name="Mantıksal Fonksiyonlar" sheetId="4" r:id="rId7"/>
    <sheet name="Mantıksal Örnekler" sheetId="5" r:id="rId8"/>
    <sheet name="Sayı Fonksiyonları II" sheetId="10" r:id="rId9"/>
    <sheet name="Metin Fonksiyonları" sheetId="11" r:id="rId10"/>
    <sheet name="Miktar İndirim" sheetId="12" r:id="rId11"/>
    <sheet name="Müşteriye Göre" sheetId="13" r:id="rId12"/>
    <sheet name="Eş ve Çocuk Yardımı" sheetId="14" r:id="rId13"/>
    <sheet name="Eş ve Çocuk Yardımı (2)" sheetId="15" r:id="rId14"/>
    <sheet name="Eş ve Çocuk Yardımı (3)" sheetId="16" r:id="rId15"/>
    <sheet name="Tarih-Zaman Fonksiyonları" sheetId="17" r:id="rId16"/>
    <sheet name="Tarih-Zaman Sınama" sheetId="18" r:id="rId17"/>
    <sheet name="Ürün Türüne Göre KDV" sheetId="19" r:id="rId18"/>
    <sheet name="Ürün Türüne Göre KDV (2)" sheetId="20" r:id="rId19"/>
    <sheet name="Ürün Türüne Göre KDV (3)" sheetId="21" r:id="rId20"/>
    <sheet name="Döviz Kur" sheetId="22" r:id="rId21"/>
    <sheet name="Döviz Alış" sheetId="23" r:id="rId22"/>
    <sheet name="Döviz Satış" sheetId="24" r:id="rId23"/>
    <sheet name="Döviz Satış (2)" sheetId="25" r:id="rId24"/>
    <sheet name="Döviz Satış (3)" sheetId="26" r:id="rId25"/>
    <sheet name="İnternet Kafe" sheetId="27" r:id="rId26"/>
    <sheet name="Uçak Kiralama" sheetId="28" r:id="rId27"/>
  </sheets>
  <definedNames>
    <definedName name="başlangıç">'Tarih-Zaman Sınama'!$H$6</definedName>
    <definedName name="birimfiyat">'Ad Tanımlama'!$B$2</definedName>
    <definedName name="bitiş">'Tarih-Zaman Sınama'!$I$6</definedName>
    <definedName name="DA">'Döviz Kur'!$B$2</definedName>
    <definedName name="DS">'Döviz Kur'!$C$2</definedName>
    <definedName name="DÜ">'İnternet Kafe'!$I$2</definedName>
    <definedName name="EA">'Döviz Kur'!$B$3</definedName>
    <definedName name="ES">'Döviz Kur'!$C$3</definedName>
    <definedName name="inbaş">'Ürün Türüne Göre KDV (3)'!$J$3</definedName>
    <definedName name="inbit">'Ürün Türüne Göre KDV (3)'!$K$3</definedName>
    <definedName name="Miktar">'Ad Tanımlama'!$D$2:$D$1048576</definedName>
    <definedName name="SA">'Döviz Kur'!$B$4</definedName>
    <definedName name="SS">'Döviz Kur'!$C$4</definedName>
  </definedNames>
  <calcPr calcId="162913"/>
</workbook>
</file>

<file path=xl/calcChain.xml><?xml version="1.0" encoding="utf-8"?>
<calcChain xmlns="http://schemas.openxmlformats.org/spreadsheetml/2006/main">
  <c r="H5" i="28" l="1"/>
  <c r="F5" i="28"/>
  <c r="E5" i="28"/>
  <c r="J5" i="28" s="1"/>
  <c r="I4" i="28"/>
  <c r="H4" i="28"/>
  <c r="F4" i="28"/>
  <c r="E4" i="28"/>
  <c r="J4" i="28" s="1"/>
  <c r="H3" i="28"/>
  <c r="F3" i="28"/>
  <c r="E3" i="28"/>
  <c r="J3" i="28" s="1"/>
  <c r="H2" i="28"/>
  <c r="F2" i="28"/>
  <c r="E2" i="28"/>
  <c r="I2" i="28" s="1"/>
  <c r="D7" i="27"/>
  <c r="E7" i="27" s="1"/>
  <c r="F7" i="27" s="1"/>
  <c r="D6" i="27"/>
  <c r="E6" i="27" s="1"/>
  <c r="F6" i="27" s="1"/>
  <c r="D5" i="27"/>
  <c r="E5" i="27" s="1"/>
  <c r="F5" i="27" s="1"/>
  <c r="H4" i="27"/>
  <c r="F4" i="27"/>
  <c r="E4" i="27"/>
  <c r="D4" i="27"/>
  <c r="D3" i="27"/>
  <c r="E3" i="27" s="1"/>
  <c r="F3" i="27" s="1"/>
  <c r="I2" i="27"/>
  <c r="E2" i="27"/>
  <c r="F2" i="27" s="1"/>
  <c r="D2" i="27"/>
  <c r="C5" i="26"/>
  <c r="D5" i="26" s="1"/>
  <c r="C4" i="26"/>
  <c r="D4" i="26" s="1"/>
  <c r="C3" i="26"/>
  <c r="D3" i="26" s="1"/>
  <c r="D2" i="26"/>
  <c r="C2" i="26"/>
  <c r="C5" i="25"/>
  <c r="D5" i="25" s="1"/>
  <c r="C4" i="25"/>
  <c r="D4" i="25" s="1"/>
  <c r="C3" i="25"/>
  <c r="D3" i="25" s="1"/>
  <c r="D2" i="25"/>
  <c r="C2" i="25"/>
  <c r="F5" i="24"/>
  <c r="F7" i="24" s="1"/>
  <c r="C5" i="24"/>
  <c r="D5" i="24" s="1"/>
  <c r="C4" i="24"/>
  <c r="D4" i="24" s="1"/>
  <c r="D3" i="24"/>
  <c r="C3" i="24"/>
  <c r="F2" i="24"/>
  <c r="G2" i="24" s="1"/>
  <c r="C2" i="24"/>
  <c r="D2" i="24" s="1"/>
  <c r="C5" i="23"/>
  <c r="C4" i="23"/>
  <c r="C3" i="23"/>
  <c r="C2" i="23"/>
  <c r="F10" i="21"/>
  <c r="D10" i="21"/>
  <c r="E10" i="21" s="1"/>
  <c r="F9" i="21"/>
  <c r="H9" i="21" s="1"/>
  <c r="E9" i="21"/>
  <c r="D9" i="21"/>
  <c r="F8" i="21"/>
  <c r="D8" i="21"/>
  <c r="E8" i="21" s="1"/>
  <c r="F7" i="21"/>
  <c r="H7" i="21" s="1"/>
  <c r="E7" i="21"/>
  <c r="D7" i="21"/>
  <c r="F6" i="21"/>
  <c r="H6" i="21" s="1"/>
  <c r="D6" i="21"/>
  <c r="E6" i="21" s="1"/>
  <c r="F5" i="21"/>
  <c r="H5" i="21" s="1"/>
  <c r="E5" i="21"/>
  <c r="D5" i="21"/>
  <c r="F4" i="21"/>
  <c r="D4" i="21"/>
  <c r="E4" i="21" s="1"/>
  <c r="F3" i="21"/>
  <c r="H3" i="21" s="1"/>
  <c r="E3" i="21"/>
  <c r="F10" i="20"/>
  <c r="G10" i="20" s="1"/>
  <c r="D10" i="20"/>
  <c r="E10" i="20" s="1"/>
  <c r="F9" i="20"/>
  <c r="G9" i="20" s="1"/>
  <c r="I9" i="20" s="1"/>
  <c r="E9" i="20"/>
  <c r="D9" i="20"/>
  <c r="F8" i="20"/>
  <c r="G8" i="20" s="1"/>
  <c r="D8" i="20"/>
  <c r="E8" i="20" s="1"/>
  <c r="I7" i="20"/>
  <c r="G7" i="20"/>
  <c r="F7" i="20"/>
  <c r="E7" i="20"/>
  <c r="D7" i="20"/>
  <c r="F6" i="20"/>
  <c r="G6" i="20" s="1"/>
  <c r="I6" i="20" s="1"/>
  <c r="E6" i="20"/>
  <c r="D6" i="20"/>
  <c r="G5" i="20"/>
  <c r="I5" i="20" s="1"/>
  <c r="F5" i="20"/>
  <c r="E5" i="20"/>
  <c r="D5" i="20"/>
  <c r="G4" i="20"/>
  <c r="F4" i="20"/>
  <c r="D4" i="20"/>
  <c r="E4" i="20" s="1"/>
  <c r="G3" i="20"/>
  <c r="I3" i="20" s="1"/>
  <c r="F3" i="20"/>
  <c r="E3" i="20"/>
  <c r="I10" i="19"/>
  <c r="G10" i="19"/>
  <c r="F10" i="19"/>
  <c r="E10" i="19"/>
  <c r="D10" i="19"/>
  <c r="F9" i="19"/>
  <c r="G9" i="19" s="1"/>
  <c r="I9" i="19" s="1"/>
  <c r="E9" i="19"/>
  <c r="D9" i="19"/>
  <c r="G8" i="19"/>
  <c r="I8" i="19" s="1"/>
  <c r="F8" i="19"/>
  <c r="E8" i="19"/>
  <c r="D8" i="19"/>
  <c r="G7" i="19"/>
  <c r="I7" i="19" s="1"/>
  <c r="F7" i="19"/>
  <c r="D7" i="19"/>
  <c r="E7" i="19" s="1"/>
  <c r="G6" i="19"/>
  <c r="F6" i="19"/>
  <c r="D6" i="19"/>
  <c r="E6" i="19" s="1"/>
  <c r="F5" i="19"/>
  <c r="G5" i="19" s="1"/>
  <c r="D5" i="19"/>
  <c r="E5" i="19" s="1"/>
  <c r="F4" i="19"/>
  <c r="G4" i="19" s="1"/>
  <c r="I4" i="19" s="1"/>
  <c r="E4" i="19"/>
  <c r="D4" i="19"/>
  <c r="F3" i="19"/>
  <c r="G3" i="19" s="1"/>
  <c r="I3" i="19" s="1"/>
  <c r="E3" i="19"/>
  <c r="C11" i="18"/>
  <c r="C10" i="18"/>
  <c r="C9" i="18"/>
  <c r="F8" i="18"/>
  <c r="E8" i="18"/>
  <c r="C8" i="18"/>
  <c r="C5" i="18"/>
  <c r="C4" i="18"/>
  <c r="C3" i="18"/>
  <c r="C2" i="18"/>
  <c r="B11" i="17"/>
  <c r="B10" i="17"/>
  <c r="B9" i="17"/>
  <c r="B8" i="17"/>
  <c r="B7" i="17"/>
  <c r="B6" i="17"/>
  <c r="B5" i="17"/>
  <c r="B4" i="17"/>
  <c r="B3" i="17"/>
  <c r="C11" i="16"/>
  <c r="G5" i="16"/>
  <c r="E5" i="16"/>
  <c r="G4" i="16"/>
  <c r="E4" i="16"/>
  <c r="E3" i="16"/>
  <c r="G3" i="16" s="1"/>
  <c r="E2" i="16"/>
  <c r="G2" i="16" s="1"/>
  <c r="F5" i="15"/>
  <c r="E5" i="15"/>
  <c r="F4" i="15"/>
  <c r="E4" i="15"/>
  <c r="E3" i="15"/>
  <c r="F3" i="15" s="1"/>
  <c r="E2" i="15"/>
  <c r="F2" i="15" s="1"/>
  <c r="F5" i="14"/>
  <c r="E5" i="14"/>
  <c r="F4" i="14"/>
  <c r="E4" i="14"/>
  <c r="E3" i="14"/>
  <c r="F3" i="14" s="1"/>
  <c r="E2" i="14"/>
  <c r="F2" i="14" s="1"/>
  <c r="F5" i="13"/>
  <c r="E5" i="13"/>
  <c r="E4" i="13"/>
  <c r="F4" i="13" s="1"/>
  <c r="E3" i="13"/>
  <c r="F3" i="13" s="1"/>
  <c r="E2" i="13"/>
  <c r="F2" i="13" s="1"/>
  <c r="H5" i="12"/>
  <c r="E5" i="12"/>
  <c r="D5" i="12"/>
  <c r="F5" i="12" s="1"/>
  <c r="H4" i="12"/>
  <c r="D4" i="12"/>
  <c r="E4" i="12" s="1"/>
  <c r="F4" i="12" s="1"/>
  <c r="H3" i="12"/>
  <c r="E3" i="12"/>
  <c r="D3" i="12"/>
  <c r="F3" i="12" s="1"/>
  <c r="H2" i="12"/>
  <c r="F2" i="12"/>
  <c r="E2" i="12"/>
  <c r="D2" i="12"/>
  <c r="D13" i="11"/>
  <c r="H12" i="11"/>
  <c r="C7" i="11"/>
  <c r="C6" i="11"/>
  <c r="C8" i="11" s="1"/>
  <c r="D10" i="11" s="1"/>
  <c r="C5" i="11"/>
  <c r="C4" i="11"/>
  <c r="C3" i="11"/>
  <c r="B9" i="10"/>
  <c r="B8" i="10"/>
  <c r="B7" i="10"/>
  <c r="B6" i="10"/>
  <c r="B5" i="10"/>
  <c r="B4" i="10"/>
  <c r="B3" i="10"/>
  <c r="B2" i="10"/>
  <c r="I8" i="20" l="1"/>
  <c r="H10" i="21"/>
  <c r="H4" i="21"/>
  <c r="I5" i="19"/>
  <c r="I4" i="20"/>
  <c r="H8" i="21"/>
  <c r="I6" i="19"/>
  <c r="I10" i="20"/>
  <c r="J2" i="28"/>
  <c r="I3" i="28"/>
  <c r="I5" i="28"/>
  <c r="B31" i="5" l="1"/>
  <c r="B32" i="5"/>
  <c r="B33" i="5"/>
  <c r="B34" i="5"/>
  <c r="B35" i="5"/>
  <c r="B36" i="5"/>
  <c r="B37" i="5"/>
  <c r="B30" i="5"/>
  <c r="C23" i="5" l="1"/>
  <c r="C24" i="5"/>
  <c r="C25" i="5"/>
  <c r="C26" i="5"/>
  <c r="C19" i="5"/>
  <c r="C20" i="5"/>
  <c r="C18" i="5"/>
  <c r="B13" i="5" l="1"/>
  <c r="B14" i="5"/>
  <c r="B15" i="5"/>
  <c r="B9" i="5"/>
  <c r="B10" i="5"/>
  <c r="B8" i="5"/>
  <c r="B4" i="5"/>
  <c r="B5" i="5"/>
  <c r="B3" i="5"/>
  <c r="I10" i="2" l="1"/>
  <c r="I8" i="2"/>
  <c r="G4" i="2"/>
  <c r="G5" i="2"/>
  <c r="I6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E36" i="2"/>
  <c r="F36" i="2"/>
  <c r="D36" i="2"/>
  <c r="C13" i="3"/>
  <c r="C12" i="3"/>
  <c r="B13" i="3"/>
  <c r="B12" i="3"/>
  <c r="E2" i="8"/>
  <c r="E7" i="8"/>
  <c r="E6" i="8"/>
  <c r="E5" i="8"/>
  <c r="E4" i="8"/>
  <c r="E3" i="8"/>
  <c r="D3" i="6"/>
  <c r="D4" i="6"/>
  <c r="D2" i="6"/>
  <c r="D4" i="9"/>
  <c r="D3" i="9"/>
  <c r="G36" i="2" l="1"/>
</calcChain>
</file>

<file path=xl/sharedStrings.xml><?xml version="1.0" encoding="utf-8"?>
<sst xmlns="http://schemas.openxmlformats.org/spreadsheetml/2006/main" count="616" uniqueCount="385">
  <si>
    <t>MARKA</t>
  </si>
  <si>
    <t>MODEL</t>
  </si>
  <si>
    <t>SEGMENT</t>
  </si>
  <si>
    <t>TOPLAM</t>
  </si>
  <si>
    <t>C2</t>
  </si>
  <si>
    <t>F1</t>
  </si>
  <si>
    <t>F6</t>
  </si>
  <si>
    <t>AUDI</t>
  </si>
  <si>
    <t>A3</t>
  </si>
  <si>
    <t>C1</t>
  </si>
  <si>
    <t>A4</t>
  </si>
  <si>
    <t>D1</t>
  </si>
  <si>
    <t>A6</t>
  </si>
  <si>
    <t>E1</t>
  </si>
  <si>
    <t>Q3</t>
  </si>
  <si>
    <t>C7</t>
  </si>
  <si>
    <t>A5</t>
  </si>
  <si>
    <t>D6</t>
  </si>
  <si>
    <t>Q5</t>
  </si>
  <si>
    <t>E7</t>
  </si>
  <si>
    <t>Q7</t>
  </si>
  <si>
    <t>F7</t>
  </si>
  <si>
    <t>A1</t>
  </si>
  <si>
    <t>B2</t>
  </si>
  <si>
    <t>A7 Sportback</t>
  </si>
  <si>
    <t>E6</t>
  </si>
  <si>
    <t>A3 Cabriolet</t>
  </si>
  <si>
    <t>C6</t>
  </si>
  <si>
    <t>A4 allroad</t>
  </si>
  <si>
    <t>D3</t>
  </si>
  <si>
    <t>A8</t>
  </si>
  <si>
    <t>A4 (B8)</t>
  </si>
  <si>
    <t>TTC</t>
  </si>
  <si>
    <t>S3</t>
  </si>
  <si>
    <t>RS6</t>
  </si>
  <si>
    <t>E3</t>
  </si>
  <si>
    <t>ALLROAD QUATTRO</t>
  </si>
  <si>
    <t>E2</t>
  </si>
  <si>
    <t>RS7</t>
  </si>
  <si>
    <t>S8</t>
  </si>
  <si>
    <t>R8</t>
  </si>
  <si>
    <t>RS4</t>
  </si>
  <si>
    <t>S5</t>
  </si>
  <si>
    <t>A5 Cabriolet</t>
  </si>
  <si>
    <t>S5 Sportback</t>
  </si>
  <si>
    <t>RS5</t>
  </si>
  <si>
    <t>S5 Cabriolet</t>
  </si>
  <si>
    <t>Toplam</t>
  </si>
  <si>
    <t>Ocak</t>
  </si>
  <si>
    <t>Şubat</t>
  </si>
  <si>
    <t>Mart</t>
  </si>
  <si>
    <t xml:space="preserve">
Otomobil Ve H.Ticari Araç Pazarı Marka/Model Perakende Satışlar (Ocak- Mart '2016)</t>
  </si>
  <si>
    <t>:</t>
  </si>
  <si>
    <t>;</t>
  </si>
  <si>
    <t>Aralık</t>
  </si>
  <si>
    <t>B2:B14</t>
  </si>
  <si>
    <t>B2;B14</t>
  </si>
  <si>
    <t>B2:C14</t>
  </si>
  <si>
    <t>B2:B14;D2:D14</t>
  </si>
  <si>
    <t>Ad kutusu!</t>
  </si>
  <si>
    <t>ORTALAMA SATIŞ?</t>
  </si>
  <si>
    <t>EN YÜKSEK SATIŞ RAKAMI?</t>
  </si>
  <si>
    <t>EN DÜŞÜK SATIŞ RAKAMI?</t>
  </si>
  <si>
    <t>TOPLA(sayı1;sayı2;….)</t>
  </si>
  <si>
    <t>Sayı</t>
  </si>
  <si>
    <t>Parantez içindeki sayısal değerlerin toplamını verir.</t>
  </si>
  <si>
    <t>Hücre Kordinatı</t>
  </si>
  <si>
    <t>b5</t>
  </si>
  <si>
    <t>ORTALAMA(sayı1;sayı2;…..)</t>
  </si>
  <si>
    <t>Hücre Aralığı</t>
  </si>
  <si>
    <t>b1:b15</t>
  </si>
  <si>
    <t>Parantez içindeki sayısal değerlerin aritmetik ortalamasını verir.</t>
  </si>
  <si>
    <t>Hücre Adı</t>
  </si>
  <si>
    <t>netmaaş</t>
  </si>
  <si>
    <t>MİN(sayı1;sayı2;…..)</t>
  </si>
  <si>
    <t>Formül/İşlev</t>
  </si>
  <si>
    <t>12*5</t>
  </si>
  <si>
    <t>Parantez içindeki sayısal değerlerin en küçüğünü verir.</t>
  </si>
  <si>
    <t>MAK(sayı1;sayı2;…..)</t>
  </si>
  <si>
    <t>Parantez içindeki sayısal değerlerin en büyüğünü verir.</t>
  </si>
  <si>
    <t>ÇARPIM(sayı1;sayı2;…..)</t>
  </si>
  <si>
    <t>Parantez içindeki sayısal değerlerin çarpımını verir.</t>
  </si>
  <si>
    <t>KUVVET(sayı;üs değeri)</t>
  </si>
  <si>
    <t>Parantez içindeki sayının üs değeri kadar kuvvetini alır.</t>
  </si>
  <si>
    <t>EĞER(sınama;sonuç1;sonuç2)</t>
  </si>
  <si>
    <r>
      <t xml:space="preserve">Mantıksal </t>
    </r>
    <r>
      <rPr>
        <b/>
        <sz val="11"/>
        <color theme="1"/>
        <rFont val="Calibri"/>
        <family val="2"/>
        <charset val="162"/>
        <scheme val="minor"/>
      </rPr>
      <t>sınama</t>
    </r>
    <r>
      <rPr>
        <sz val="10"/>
        <rFont val="Arial"/>
      </rPr>
      <t xml:space="preserve"> doğruysa </t>
    </r>
    <r>
      <rPr>
        <b/>
        <sz val="11"/>
        <color theme="1"/>
        <rFont val="Calibri"/>
        <family val="2"/>
        <charset val="162"/>
        <scheme val="minor"/>
      </rPr>
      <t xml:space="preserve">sonuç1 </t>
    </r>
    <r>
      <rPr>
        <sz val="10"/>
        <rFont val="Arial"/>
      </rPr>
      <t xml:space="preserve">yanlışsa </t>
    </r>
    <r>
      <rPr>
        <b/>
        <sz val="11"/>
        <color theme="1"/>
        <rFont val="Calibri"/>
        <family val="2"/>
        <charset val="162"/>
        <scheme val="minor"/>
      </rPr>
      <t>sonuç2</t>
    </r>
    <r>
      <rPr>
        <sz val="10"/>
        <rFont val="Arial"/>
      </rPr>
      <t xml:space="preserve"> verir.</t>
    </r>
  </si>
  <si>
    <t xml:space="preserve"> = , &gt; , &lt; , &gt;= , &lt;= , &lt;&gt;</t>
  </si>
  <si>
    <t>VE(sınama1;sınama2;….)</t>
  </si>
  <si>
    <r>
      <t xml:space="preserve">Sınamaların tamamı doğruysa </t>
    </r>
    <r>
      <rPr>
        <b/>
        <sz val="11"/>
        <rFont val="Calibri"/>
        <family val="2"/>
        <charset val="162"/>
        <scheme val="minor"/>
      </rPr>
      <t>DOĞRU</t>
    </r>
    <r>
      <rPr>
        <sz val="11"/>
        <rFont val="Calibri"/>
        <family val="2"/>
        <charset val="162"/>
        <scheme val="minor"/>
      </rPr>
      <t xml:space="preserve">, en az biri yanlışsa </t>
    </r>
    <r>
      <rPr>
        <b/>
        <sz val="11"/>
        <rFont val="Calibri"/>
        <family val="2"/>
        <charset val="162"/>
        <scheme val="minor"/>
      </rPr>
      <t>YANLIŞ</t>
    </r>
    <r>
      <rPr>
        <sz val="11"/>
        <rFont val="Calibri"/>
        <family val="2"/>
        <charset val="162"/>
        <scheme val="minor"/>
      </rPr>
      <t xml:space="preserve"> verir.</t>
    </r>
  </si>
  <si>
    <t>YADA(sınama1;sınama2;….)</t>
  </si>
  <si>
    <r>
      <t xml:space="preserve">Sınamaların en az biri doğruysa </t>
    </r>
    <r>
      <rPr>
        <b/>
        <sz val="11"/>
        <rFont val="Calibri"/>
        <family val="2"/>
        <charset val="162"/>
        <scheme val="minor"/>
      </rPr>
      <t>DOĞRU</t>
    </r>
    <r>
      <rPr>
        <sz val="11"/>
        <rFont val="Calibri"/>
        <family val="2"/>
        <charset val="162"/>
        <scheme val="minor"/>
      </rPr>
      <t xml:space="preserve">, tamamı yanlışsa </t>
    </r>
    <r>
      <rPr>
        <b/>
        <sz val="11"/>
        <rFont val="Calibri"/>
        <family val="2"/>
        <charset val="162"/>
        <scheme val="minor"/>
      </rPr>
      <t>YANLIŞ</t>
    </r>
    <r>
      <rPr>
        <sz val="11"/>
        <rFont val="Calibri"/>
        <family val="2"/>
        <charset val="162"/>
        <scheme val="minor"/>
      </rPr>
      <t xml:space="preserve"> verir.</t>
    </r>
  </si>
  <si>
    <t>EĞER(sınama1;sonuç1;EĞER(sınama2;sonuç2;sonuç3))</t>
  </si>
  <si>
    <t>Son sonuç sınanmayan tüm değerlerin (tüm sınamalar yanlışsanın) sonucudur.</t>
  </si>
  <si>
    <t>Eğer kadar parantez kapatılmalı.</t>
  </si>
  <si>
    <t>Sınamaların sırası önemli olabilir.</t>
  </si>
  <si>
    <t>Sınanan durumlardan bir eksik eğer yazılabilir.</t>
  </si>
  <si>
    <t>Sınırlı</t>
  </si>
  <si>
    <t>D1: (Eğer) Tüm sınavlardan başarılı olursam, bütünleme sınavlarına katılmam.</t>
  </si>
  <si>
    <t>Bütünleme Durumu</t>
  </si>
  <si>
    <t>Başarılı</t>
  </si>
  <si>
    <t>Başarısız</t>
  </si>
  <si>
    <t>D2: Dolar kuru 2,90'nın altındaysa dolar satın alırım değilse almam.</t>
  </si>
  <si>
    <t>Dolar Kuru</t>
  </si>
  <si>
    <t>Satın Alma Durumu</t>
  </si>
  <si>
    <t>D3: Tutar 3000 TL den fazlaysa, yüzde 10 indirim değilse indirim yok.</t>
  </si>
  <si>
    <t>Tutar</t>
  </si>
  <si>
    <t>İndirim</t>
  </si>
  <si>
    <t>D4: Müdür ve Müdür yardımcılarına % 10 prim diğer personele 50 TL prim.</t>
  </si>
  <si>
    <t>Unvan</t>
  </si>
  <si>
    <t>Maaş</t>
  </si>
  <si>
    <t>Prim</t>
  </si>
  <si>
    <t>Müdür</t>
  </si>
  <si>
    <t>Müdür Yrd.</t>
  </si>
  <si>
    <t>Memur</t>
  </si>
  <si>
    <t>D5: Pazarlama departmanında ve yaşı 30'un üstünde olanlara zam var.</t>
  </si>
  <si>
    <t>Departman</t>
  </si>
  <si>
    <t>Yaş</t>
  </si>
  <si>
    <t>Zam?</t>
  </si>
  <si>
    <t>Pazarlama</t>
  </si>
  <si>
    <t>Muhasebe</t>
  </si>
  <si>
    <t>Üretim</t>
  </si>
  <si>
    <t>D6: Hesabımda 500 TL varsa Lenovo A6010, 700 TL varsa Huawei P8 Lite, 1000 TL varsa HTC Desire 820, 1500 TL</t>
  </si>
  <si>
    <t>varsa Samsung Galaxy A8 ve 3350 TL varsa Blackberry Priv alırım.</t>
  </si>
  <si>
    <t>Para Durumu</t>
  </si>
  <si>
    <t>Alınacak Telefon</t>
  </si>
  <si>
    <t>Ürün Adı</t>
  </si>
  <si>
    <t>Birim Fiyat</t>
  </si>
  <si>
    <t>Miktar</t>
  </si>
  <si>
    <t>Audi A4</t>
  </si>
  <si>
    <t>Aston Martin DB9</t>
  </si>
  <si>
    <t>Alfa Romeo 159</t>
  </si>
  <si>
    <t>DEĞİŞİKLİKLERE DUYARLI!</t>
  </si>
  <si>
    <t>Bilgisayar</t>
  </si>
  <si>
    <t>İşletme</t>
  </si>
  <si>
    <t>Pazartesi</t>
  </si>
  <si>
    <t>Audi</t>
  </si>
  <si>
    <t>İktisat</t>
  </si>
  <si>
    <t>Acura</t>
  </si>
  <si>
    <t>Maliye</t>
  </si>
  <si>
    <t>Alfa Romeo</t>
  </si>
  <si>
    <t>Anadol</t>
  </si>
  <si>
    <t>Aston Martin</t>
  </si>
  <si>
    <t>Dosya-Seçenekler-Gelişmiş-Özel Listeleri Düzenle</t>
  </si>
  <si>
    <t>Başarı Durumu</t>
  </si>
  <si>
    <t>Ürün</t>
  </si>
  <si>
    <t>Tarih</t>
  </si>
  <si>
    <t>Nisan</t>
  </si>
  <si>
    <t>Mayıs</t>
  </si>
  <si>
    <t>Haziran</t>
  </si>
  <si>
    <t>Metin</t>
  </si>
  <si>
    <t>Formül</t>
  </si>
  <si>
    <t>TBT2</t>
  </si>
  <si>
    <t>12.00,45</t>
  </si>
  <si>
    <t>14,14,158</t>
  </si>
  <si>
    <t>=</t>
  </si>
  <si>
    <t xml:space="preserve"> + - / *</t>
  </si>
  <si>
    <t>12.000.00</t>
  </si>
  <si>
    <t>Salı</t>
  </si>
  <si>
    <t>Çarşamba</t>
  </si>
  <si>
    <t>Perşembe</t>
  </si>
  <si>
    <t>Cuma</t>
  </si>
  <si>
    <t>Cumartesi</t>
  </si>
  <si>
    <t>Pazar</t>
  </si>
  <si>
    <t>Temmuz</t>
  </si>
  <si>
    <t>Ağustos</t>
  </si>
  <si>
    <t>Eylül</t>
  </si>
  <si>
    <t>Ekim</t>
  </si>
  <si>
    <t>Kasım</t>
  </si>
  <si>
    <t>Ayrı(ve)</t>
  </si>
  <si>
    <t>topla(b2:b14)</t>
  </si>
  <si>
    <t xml:space="preserve"> = &lt;&gt;</t>
  </si>
  <si>
    <t>"metin"</t>
  </si>
  <si>
    <t>"sonuç2"</t>
  </si>
  <si>
    <t>Aşağıyuvarla(sayı;basamak sayısı)</t>
  </si>
  <si>
    <t>Sayıyı (basamak sayısından sonra) sıfır yönünde aşağı yuvarlar.</t>
  </si>
  <si>
    <t>Yukarıyuvarla(sayı;basamak sayısı)</t>
  </si>
  <si>
    <t>Sayıyı (basamak sayısından sonra) sıfırdan uzaklaşarak yukarı yuvarlar.</t>
  </si>
  <si>
    <t>Yuvarla(sayı;basamak sayısı)</t>
  </si>
  <si>
    <t>Sayıyı belirtilen basamak sayısına yuvarlar. Basamak sayısı olarak belirtilen basamaktan sonraki basamak 5 ve yukarısı ise yukarı, değilse aşağı yuvarlar.</t>
  </si>
  <si>
    <t>Tamsayı(sayı)</t>
  </si>
  <si>
    <t>Sayıyı tamsayıya çevirir.</t>
  </si>
  <si>
    <t>Tek(sayı)</t>
  </si>
  <si>
    <t>Sayıyı bir üst tek tam sayıya yuvarlar.</t>
  </si>
  <si>
    <t>Bu dört fonksiyonda eğer değer tam ise bir değişiklik olmaz. (Tam tek, tam çift, tam katı vb.)</t>
  </si>
  <si>
    <t>Çift(sayı)</t>
  </si>
  <si>
    <t>Sayıyı bir üst çift tam sayıya yuvarlar.</t>
  </si>
  <si>
    <t>Tabanayuvarla(sayı;taban değeri)</t>
  </si>
  <si>
    <t>Sayıyı taban değeri kadar (en yakın alt) katına yuvarlar.</t>
  </si>
  <si>
    <t>Tavanayuvarla(sayı;taban değeri)</t>
  </si>
  <si>
    <t>Sayıyı taban değeri kadar (en yakın üst) katına yuvarlar.</t>
  </si>
  <si>
    <t>Pastane</t>
  </si>
  <si>
    <t>" "</t>
  </si>
  <si>
    <t>Acemileşivermek</t>
  </si>
  <si>
    <t>"Metin"</t>
  </si>
  <si>
    <t>Babalanma</t>
  </si>
  <si>
    <t>SAĞDAN(metin;karakter sayısı)</t>
  </si>
  <si>
    <t>SOLDAN(metin;karakter sayısı)</t>
  </si>
  <si>
    <t>PARÇAAL(metin;başlangıç karakteri;karakter sayısı)</t>
  </si>
  <si>
    <t>BİRLEŞTİR(metin1;metin2;….)</t>
  </si>
  <si>
    <t>BÜYÜKHARF(metin)</t>
  </si>
  <si>
    <t>KÜÇÜKHARF(metin)</t>
  </si>
  <si>
    <t>YAZIM.DÜZENİ(metin)</t>
  </si>
  <si>
    <t>Recep</t>
  </si>
  <si>
    <t>İvedik</t>
  </si>
  <si>
    <t>eş</t>
  </si>
  <si>
    <t>ve</t>
  </si>
  <si>
    <t>çocuk</t>
  </si>
  <si>
    <t>yardımı</t>
  </si>
  <si>
    <t>Ödenecek</t>
  </si>
  <si>
    <t>Ödenecek 2</t>
  </si>
  <si>
    <t>Monitör</t>
  </si>
  <si>
    <t>Fare</t>
  </si>
  <si>
    <t>Klavye</t>
  </si>
  <si>
    <t>Yazıcı</t>
  </si>
  <si>
    <t>Etiket F.</t>
  </si>
  <si>
    <t>Müşteri</t>
  </si>
  <si>
    <t>Satış Fiyatı</t>
  </si>
  <si>
    <t>Masa</t>
  </si>
  <si>
    <t>Bayi</t>
  </si>
  <si>
    <t>Dolap</t>
  </si>
  <si>
    <t>Peşin</t>
  </si>
  <si>
    <t>Koltuk</t>
  </si>
  <si>
    <t>Vadeli</t>
  </si>
  <si>
    <t>Sandalye</t>
  </si>
  <si>
    <t>Bayi %20</t>
  </si>
  <si>
    <t>Peşin %15</t>
  </si>
  <si>
    <t>Vadeli EF</t>
  </si>
  <si>
    <t>Sicil No</t>
  </si>
  <si>
    <t>Medeni Hali</t>
  </si>
  <si>
    <t>Çocuk Sayısı</t>
  </si>
  <si>
    <t>Ek Ücret</t>
  </si>
  <si>
    <t>Toplam Ücret</t>
  </si>
  <si>
    <t>B</t>
  </si>
  <si>
    <t>E</t>
  </si>
  <si>
    <t>b</t>
  </si>
  <si>
    <t>e ç</t>
  </si>
  <si>
    <t>e çy</t>
  </si>
  <si>
    <t>ç&lt;3</t>
  </si>
  <si>
    <t>ç&lt;6</t>
  </si>
  <si>
    <t>ç&gt;5</t>
  </si>
  <si>
    <t>ç=0</t>
  </si>
  <si>
    <t>Aralık Sınama</t>
  </si>
  <si>
    <t>1 veya 2</t>
  </si>
  <si>
    <t>ve(hücre&gt;başlangıç;hücre&lt;bitiş)</t>
  </si>
  <si>
    <t>0&lt;ç&lt;3</t>
  </si>
  <si>
    <t>yada(ç=1;ç=2)</t>
  </si>
  <si>
    <t>Eğer(ve(çocuk&gt;0;çocuk&lt;3);sonuç1;sonuç2)</t>
  </si>
  <si>
    <t>Eğer(ve(çocuk&gt;2;çocuk&lt;6);sonuç1;sonuç2)</t>
  </si>
  <si>
    <t>Eğer(çocuk&gt;5;s1;eğer(çocuk&gt;2;s2;eğer(çocuk&gt;0;s3;s4)))</t>
  </si>
  <si>
    <t>Sıra Önemli</t>
  </si>
  <si>
    <t>Eğer(çocuk&lt;1;s1;eğer(çocuk&lt;3;s2;eğer(çocuk&lt;6;s3;s4)))</t>
  </si>
  <si>
    <t>C2="B"</t>
  </si>
  <si>
    <t>ç&lt;1</t>
  </si>
  <si>
    <t>2&lt;ç&lt;6</t>
  </si>
  <si>
    <t>Bekar</t>
  </si>
  <si>
    <t>Çocuk Yok</t>
  </si>
  <si>
    <t>3,4 ya da 5</t>
  </si>
  <si>
    <t>5 ve üstü</t>
  </si>
  <si>
    <t>M*0,05</t>
  </si>
  <si>
    <t>M*0,1</t>
  </si>
  <si>
    <t>M*0,15</t>
  </si>
  <si>
    <t>M*0,2</t>
  </si>
  <si>
    <t>UZUN FORMÜL EĞER(C2="B";0;EĞER(VE(D2&gt;0;D2&lt;3);B2*0,1;EĞER(VE(D2&gt;2;D2&lt;6);B2*0,15;EĞER(D2&gt;5;B2*0,2;B2*0,05))))</t>
  </si>
  <si>
    <t>Eşi çalışıyor mu?</t>
  </si>
  <si>
    <t>H</t>
  </si>
  <si>
    <t>eğer(f2="e";-b2*0,05</t>
  </si>
  <si>
    <t>f2="E"</t>
  </si>
  <si>
    <t>Eşi Çalışıyor</t>
  </si>
  <si>
    <t>Doğrudan tarih girilecekse tırnak içinde yazılmalı.</t>
  </si>
  <si>
    <t>Parantez içindeki,</t>
  </si>
  <si>
    <t>GÜN(tarih)</t>
  </si>
  <si>
    <t>tarihin gününü verir.</t>
  </si>
  <si>
    <t>AY(tarih)</t>
  </si>
  <si>
    <t>tarihin ayını verir.</t>
  </si>
  <si>
    <t>YIL(tarih)</t>
  </si>
  <si>
    <t>tarihin yılını verir.</t>
  </si>
  <si>
    <t>SAAT(zaman)</t>
  </si>
  <si>
    <t>tamanın saatini verir.</t>
  </si>
  <si>
    <t>DAKİKA(zaman)</t>
  </si>
  <si>
    <t>zamanın dakikasını verir.</t>
  </si>
  <si>
    <t>SANİYE(zaman)</t>
  </si>
  <si>
    <t>zamanın saniyesini verir.</t>
  </si>
  <si>
    <t>TARİHSAYISI("tarih")</t>
  </si>
  <si>
    <t>tarihin excel'e göre tarih kodunu verir.</t>
  </si>
  <si>
    <t>Sadece tırnak içinde tarih/zaman olmalı.</t>
  </si>
  <si>
    <t>ZAMANSAYISI("zaman")</t>
  </si>
  <si>
    <t>zamanın excel'e göre zaman kodunu verir.</t>
  </si>
  <si>
    <t>HAFTANINGÜNÜ(tarih;2)
HAFTANINGÜNÜ(tarih;2)</t>
  </si>
  <si>
    <t>tarihin koda göre gün kodunu verir. Kod, 2 olduğunda "Pazartesi 1-Pazar 7" arasında bir sayı döndürür.</t>
  </si>
  <si>
    <t>Belirli bir tarihin haftanın hangi gününe denk geldiğini bulmak için kullanılabilir.</t>
  </si>
  <si>
    <t>Ürün Fiyatı</t>
  </si>
  <si>
    <t>Alışveriş Saati</t>
  </si>
  <si>
    <t>İndirim 1</t>
  </si>
  <si>
    <t>Durum 1: 12:00 den sonra yapılan alışverişler %20 indirimli.</t>
  </si>
  <si>
    <t>Durum 2: 12:00-13:00 arası yapılan alışverişler %20 indirimli.</t>
  </si>
  <si>
    <t>Tarihsayısı("Tarih")</t>
  </si>
  <si>
    <t>Başlangıç</t>
  </si>
  <si>
    <t>Bitiş</t>
  </si>
  <si>
    <t>Zamansayısı("Zamansayısı")</t>
  </si>
  <si>
    <t>İndirim 2</t>
  </si>
  <si>
    <t>1. Tarihsayısı veya zamansayısı formül içinde kullanılabilir.</t>
  </si>
  <si>
    <t>2. Zamansayısı veya tarihsayısı sonuçları formül içinde kullanılabilir.</t>
  </si>
  <si>
    <t>3. Başlangıç ve/veya bitiş değerleri içeren hücrelere ad tanımlanıp formülde kullanılabilir.</t>
  </si>
  <si>
    <t>Ürünün Kodı</t>
  </si>
  <si>
    <t>Etiket Fiyatı (TL)</t>
  </si>
  <si>
    <t>Tür</t>
  </si>
  <si>
    <t>KDV Oranı</t>
  </si>
  <si>
    <t>Haftanın Günü</t>
  </si>
  <si>
    <t>Satış Tarihi</t>
  </si>
  <si>
    <t>KDV Dahil Fiyat</t>
  </si>
  <si>
    <t>ÜK.1587</t>
  </si>
  <si>
    <t>Kalem</t>
  </si>
  <si>
    <t>K</t>
  </si>
  <si>
    <t>ÜG.7500</t>
  </si>
  <si>
    <t>Konserve</t>
  </si>
  <si>
    <t>ST.9500</t>
  </si>
  <si>
    <t>Deterjan</t>
  </si>
  <si>
    <t>SK.1780</t>
  </si>
  <si>
    <t>Defter</t>
  </si>
  <si>
    <t>SG.8800</t>
  </si>
  <si>
    <t>Salça</t>
  </si>
  <si>
    <t>ÜT.3589</t>
  </si>
  <si>
    <t>Sabun</t>
  </si>
  <si>
    <t>UK.1600</t>
  </si>
  <si>
    <t>Karton</t>
  </si>
  <si>
    <t>SK.1903</t>
  </si>
  <si>
    <t>Makas</t>
  </si>
  <si>
    <t>Ürün kodunun soldan ikinci karakteri ürün türünü göstermektedir.</t>
  </si>
  <si>
    <t>Gün</t>
  </si>
  <si>
    <t>100*1,18</t>
  </si>
  <si>
    <t>Alış</t>
  </si>
  <si>
    <t>Satış</t>
  </si>
  <si>
    <t>Dolar</t>
  </si>
  <si>
    <t>Euro</t>
  </si>
  <si>
    <t>Sterlin</t>
  </si>
  <si>
    <t>Döviz Türü</t>
  </si>
  <si>
    <t>Döviz Miktarı</t>
  </si>
  <si>
    <t>Ödenecek TL</t>
  </si>
  <si>
    <t>TL Miktarı</t>
  </si>
  <si>
    <t>Döviz Cinsi</t>
  </si>
  <si>
    <t>Para Üstü</t>
  </si>
  <si>
    <t>D1: Kuruş döviz ödemesi yok</t>
  </si>
  <si>
    <t>Bunlar</t>
  </si>
  <si>
    <t>için</t>
  </si>
  <si>
    <t>ne kadar TL</t>
  </si>
  <si>
    <t>vermeli?</t>
  </si>
  <si>
    <t>D2:Euro için 5, Dolar için 10, Sterlin için 20 den aşağı döviz ödenemiyor.</t>
  </si>
  <si>
    <t>Elimizdeki en küçük banknotlar;</t>
  </si>
  <si>
    <t>5 Euro</t>
  </si>
  <si>
    <t>10 Dolar</t>
  </si>
  <si>
    <t>20 Sterlin</t>
  </si>
  <si>
    <t>Başlama Saati</t>
  </si>
  <si>
    <t>Bitiş Saati</t>
  </si>
  <si>
    <t>Kullanım</t>
  </si>
  <si>
    <t>Dakika</t>
  </si>
  <si>
    <t>Ücret</t>
  </si>
  <si>
    <t>Dakika Ücreti</t>
  </si>
  <si>
    <t>Murat Özbakır</t>
  </si>
  <si>
    <t>Ali Engürel</t>
  </si>
  <si>
    <t>""</t>
  </si>
  <si>
    <t>Tuğrul Kaygusuz</t>
  </si>
  <si>
    <t>Doğan Baloğlu</t>
  </si>
  <si>
    <t>Hüseyin Şahin</t>
  </si>
  <si>
    <t>Hasan Neşiray</t>
  </si>
  <si>
    <t>Yolcu Sayısı</t>
  </si>
  <si>
    <t>Kira Başlangıç</t>
  </si>
  <si>
    <t>Kira Bitiş</t>
  </si>
  <si>
    <t>Uçak Tipi</t>
  </si>
  <si>
    <t>Kullanım Süresi</t>
  </si>
  <si>
    <t>Yapılan Mil</t>
  </si>
  <si>
    <t>Yapılan km</t>
  </si>
  <si>
    <t>Ödenecek Ücret</t>
  </si>
  <si>
    <t>Alternatif Çözüm</t>
  </si>
  <si>
    <t>Ali Zengin</t>
  </si>
  <si>
    <t>Kemal Tatar</t>
  </si>
  <si>
    <t>Ahmet Ünlüsoy</t>
  </si>
  <si>
    <t>Kamil Durmaz</t>
  </si>
  <si>
    <t>CEVAP</t>
  </si>
  <si>
    <t>A</t>
  </si>
  <si>
    <t>4.830,00 TL</t>
  </si>
  <si>
    <t>13.300,00 TL</t>
  </si>
  <si>
    <t>C</t>
  </si>
  <si>
    <t>25.900,00 TL</t>
  </si>
  <si>
    <t>4.725,00 TL</t>
  </si>
  <si>
    <t xml:space="preserve">Soru 1: Türkiye’de uçak kiralama işi yapan, yabancı bir firmada A, B ve C tipi olmak üzere üç tip uçak bulunmaktadır.
A tipi 2 yolcu, B tipi 4 yolcu ve C tipi 8 yolcu kapasitelidir. Günlük olarak hesaplanan kira bedelleri dolar üzerinden fiyatlandırılmıştır. Buna göre A tip uçağın günlük kira bedeli kişi başı $100, B tipi uçağın günlük kira bedeli kişi başı $300, C tipi uçağın günlük kira bedeli kişi başı $400’dır. Ayrıca yapılan her km başına $5 ek ücret alınmaktadır. Yolcu Sayısı girildiğinde hangi tip uçağın kiralanabileceğini, kullanım başlangıç - bitiş tarihleri ve Yapılan Mil girildiğinde Ödenecek Ücreti TL olarak hesaplayan, değişikliklere duyarlı bir sistemi Microsoft Excel programını kullanarak oluşturunuz. (Dolar kuru 1,75 TL, 1 mil 1,6 KM)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</si>
</sst>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₺&quot;"/>
    <numFmt numFmtId="165" formatCode="0.000"/>
    <numFmt numFmtId="166" formatCode="#,##0\ &quot;₺&quot;"/>
    <numFmt numFmtId="167" formatCode="hh:mm;@"/>
  </numFmts>
  <fonts count="23" x14ac:knownFonts="1">
    <font>
      <sz val="10"/>
      <name val="Arial"/>
    </font>
    <font>
      <sz val="11"/>
      <color theme="1"/>
      <name val="Calibri"/>
      <family val="2"/>
      <charset val="162"/>
      <scheme val="minor"/>
    </font>
    <font>
      <b/>
      <sz val="10"/>
      <name val="Arial"/>
    </font>
    <font>
      <b/>
      <sz val="10"/>
      <color indexed="10"/>
      <name val="Arial"/>
    </font>
    <font>
      <b/>
      <sz val="11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2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b/>
      <sz val="10"/>
      <color rgb="FF000000"/>
      <name val="Tahoma"/>
      <family val="2"/>
      <charset val="162"/>
    </font>
    <font>
      <sz val="10"/>
      <color rgb="FF000000"/>
      <name val="Tahoma"/>
      <family val="2"/>
      <charset val="162"/>
    </font>
    <font>
      <sz val="10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7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0" applyFont="1"/>
    <xf numFmtId="0" fontId="0" fillId="2" borderId="0" xfId="0" applyFill="1"/>
    <xf numFmtId="164" fontId="0" fillId="0" borderId="0" xfId="0" applyNumberFormat="1"/>
    <xf numFmtId="0" fontId="10" fillId="2" borderId="0" xfId="0" applyFont="1" applyFill="1"/>
    <xf numFmtId="4" fontId="0" fillId="0" borderId="0" xfId="0" applyNumberFormat="1"/>
    <xf numFmtId="0" fontId="11" fillId="0" borderId="0" xfId="0" applyFont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4" fillId="0" borderId="0" xfId="1" applyNumberFormat="1" applyFont="1"/>
    <xf numFmtId="0" fontId="1" fillId="0" borderId="0" xfId="1" applyAlignment="1">
      <alignment horizontal="right" vertical="center"/>
    </xf>
    <xf numFmtId="0" fontId="1" fillId="0" borderId="0" xfId="1"/>
    <xf numFmtId="165" fontId="1" fillId="0" borderId="0" xfId="1" applyNumberFormat="1" applyAlignment="1">
      <alignment horizontal="right" vertical="center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1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 wrapText="1"/>
    </xf>
    <xf numFmtId="0" fontId="4" fillId="2" borderId="0" xfId="1" applyFont="1" applyFill="1"/>
    <xf numFmtId="0" fontId="4" fillId="0" borderId="0" xfId="1" applyFont="1"/>
    <xf numFmtId="164" fontId="1" fillId="0" borderId="0" xfId="1" applyNumberFormat="1"/>
    <xf numFmtId="0" fontId="1" fillId="2" borderId="0" xfId="1" applyFill="1"/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  <xf numFmtId="9" fontId="1" fillId="0" borderId="0" xfId="1" applyNumberFormat="1" applyAlignment="1">
      <alignment horizontal="center"/>
    </xf>
    <xf numFmtId="166" fontId="1" fillId="0" borderId="0" xfId="1" applyNumberFormat="1"/>
    <xf numFmtId="0" fontId="12" fillId="0" borderId="0" xfId="1" applyFont="1"/>
    <xf numFmtId="0" fontId="12" fillId="0" borderId="0" xfId="1" applyFont="1" applyAlignment="1">
      <alignment horizontal="center"/>
    </xf>
    <xf numFmtId="0" fontId="1" fillId="0" borderId="0" xfId="1" applyAlignment="1">
      <alignment vertical="center" wrapText="1"/>
    </xf>
    <xf numFmtId="0" fontId="13" fillId="0" borderId="0" xfId="1" applyFont="1" applyAlignment="1">
      <alignment horizontal="center"/>
    </xf>
    <xf numFmtId="14" fontId="1" fillId="0" borderId="0" xfId="1" applyNumberFormat="1"/>
    <xf numFmtId="21" fontId="1" fillId="0" borderId="0" xfId="1" applyNumberFormat="1"/>
    <xf numFmtId="0" fontId="1" fillId="0" borderId="0" xfId="1" applyFont="1"/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1" fillId="0" borderId="0" xfId="1" applyAlignment="1">
      <alignment horizontal="left" wrapText="1"/>
    </xf>
    <xf numFmtId="167" fontId="1" fillId="0" borderId="0" xfId="1" applyNumberFormat="1"/>
    <xf numFmtId="20" fontId="1" fillId="0" borderId="0" xfId="1" applyNumberFormat="1"/>
    <xf numFmtId="2" fontId="1" fillId="0" borderId="0" xfId="1" applyNumberFormat="1"/>
    <xf numFmtId="0" fontId="14" fillId="0" borderId="0" xfId="1" applyFont="1"/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right" vertical="center"/>
    </xf>
    <xf numFmtId="9" fontId="16" fillId="0" borderId="1" xfId="2" applyFont="1" applyBorder="1" applyAlignment="1">
      <alignment vertical="center"/>
    </xf>
    <xf numFmtId="14" fontId="16" fillId="0" borderId="1" xfId="1" applyNumberFormat="1" applyFont="1" applyBorder="1" applyAlignment="1">
      <alignment horizontal="center" vertical="center"/>
    </xf>
    <xf numFmtId="9" fontId="1" fillId="0" borderId="0" xfId="1" applyNumberFormat="1"/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165" fontId="1" fillId="0" borderId="0" xfId="1" applyNumberFormat="1"/>
    <xf numFmtId="1" fontId="1" fillId="0" borderId="0" xfId="1" applyNumberFormat="1"/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20" fontId="18" fillId="0" borderId="1" xfId="1" applyNumberFormat="1" applyFont="1" applyBorder="1" applyAlignment="1">
      <alignment horizontal="center" vertical="center" wrapText="1"/>
    </xf>
    <xf numFmtId="20" fontId="1" fillId="0" borderId="1" xfId="1" applyNumberFormat="1" applyBorder="1"/>
    <xf numFmtId="0" fontId="1" fillId="0" borderId="1" xfId="1" applyNumberFormat="1" applyBorder="1"/>
    <xf numFmtId="164" fontId="1" fillId="0" borderId="1" xfId="1" applyNumberFormat="1" applyBorder="1"/>
    <xf numFmtId="0" fontId="19" fillId="0" borderId="0" xfId="1" applyFont="1" applyAlignment="1">
      <alignment horizontal="left" vertical="top" wrapText="1"/>
    </xf>
    <xf numFmtId="0" fontId="19" fillId="0" borderId="0" xfId="1" applyFont="1" applyAlignment="1">
      <alignment horizontal="left" vertical="top"/>
    </xf>
    <xf numFmtId="0" fontId="20" fillId="0" borderId="1" xfId="1" applyFont="1" applyBorder="1" applyAlignment="1">
      <alignment vertical="center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0" fillId="0" borderId="2" xfId="1" applyFont="1" applyFill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1" xfId="1" applyFont="1" applyBorder="1" applyAlignment="1">
      <alignment horizontal="center" vertical="center"/>
    </xf>
    <xf numFmtId="14" fontId="21" fillId="0" borderId="1" xfId="1" applyNumberFormat="1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right" vertical="center"/>
    </xf>
    <xf numFmtId="164" fontId="22" fillId="0" borderId="1" xfId="1" applyNumberFormat="1" applyFont="1" applyBorder="1"/>
    <xf numFmtId="0" fontId="20" fillId="0" borderId="0" xfId="1" applyFont="1" applyFill="1" applyBorder="1" applyAlignment="1">
      <alignment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right" vertical="center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</cellXfs>
  <cellStyles count="3">
    <cellStyle name="Normal" xfId="0" builtinId="0"/>
    <cellStyle name="Normal 2" xfId="1"/>
    <cellStyle name="Yüzd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325" zoomScaleNormal="325" workbookViewId="0">
      <selection activeCell="D9" sqref="D9"/>
    </sheetView>
  </sheetViews>
  <sheetFormatPr defaultRowHeight="12.75" x14ac:dyDescent="0.2"/>
  <sheetData>
    <row r="1" spans="1:6" x14ac:dyDescent="0.2">
      <c r="A1" t="s">
        <v>149</v>
      </c>
      <c r="B1" t="s">
        <v>151</v>
      </c>
      <c r="C1" t="s">
        <v>132</v>
      </c>
    </row>
    <row r="2" spans="1:6" x14ac:dyDescent="0.2">
      <c r="A2" t="s">
        <v>64</v>
      </c>
      <c r="B2">
        <v>12.154</v>
      </c>
      <c r="C2" s="26">
        <v>12000.45</v>
      </c>
      <c r="D2" t="s">
        <v>152</v>
      </c>
      <c r="E2" t="s">
        <v>156</v>
      </c>
      <c r="F2" t="s">
        <v>153</v>
      </c>
    </row>
    <row r="3" spans="1:6" x14ac:dyDescent="0.2">
      <c r="A3" t="s">
        <v>150</v>
      </c>
      <c r="B3" t="s">
        <v>154</v>
      </c>
      <c r="C3" t="s">
        <v>155</v>
      </c>
      <c r="D3">
        <f>14*28</f>
        <v>392</v>
      </c>
    </row>
    <row r="4" spans="1:6" x14ac:dyDescent="0.2">
      <c r="D4">
        <f>123+3*(45+78)</f>
        <v>492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205" zoomScaleNormal="205" workbookViewId="0">
      <selection activeCell="B4" sqref="B4"/>
    </sheetView>
  </sheetViews>
  <sheetFormatPr defaultRowHeight="15" x14ac:dyDescent="0.25"/>
  <cols>
    <col min="1" max="1" width="16.5703125" style="33" bestFit="1" customWidth="1"/>
    <col min="2" max="2" width="4.140625" style="33" customWidth="1"/>
    <col min="3" max="3" width="11.5703125" style="33" bestFit="1" customWidth="1"/>
    <col min="4" max="4" width="44.85546875" style="33" customWidth="1"/>
    <col min="5" max="7" width="9.140625" style="33"/>
    <col min="8" max="8" width="18.42578125" style="33" bestFit="1" customWidth="1"/>
    <col min="9" max="16384" width="9.140625" style="33"/>
  </cols>
  <sheetData>
    <row r="1" spans="1:8" x14ac:dyDescent="0.25">
      <c r="A1" s="33" t="s">
        <v>190</v>
      </c>
      <c r="D1" s="33" t="s">
        <v>191</v>
      </c>
    </row>
    <row r="2" spans="1:8" x14ac:dyDescent="0.25">
      <c r="A2" s="33" t="s">
        <v>192</v>
      </c>
      <c r="D2" s="33" t="s">
        <v>193</v>
      </c>
    </row>
    <row r="3" spans="1:8" x14ac:dyDescent="0.25">
      <c r="A3" s="33" t="s">
        <v>194</v>
      </c>
      <c r="C3" s="33" t="str">
        <f>RIGHT(A1,4)</f>
        <v>tane</v>
      </c>
      <c r="D3" s="33" t="s">
        <v>195</v>
      </c>
    </row>
    <row r="4" spans="1:8" x14ac:dyDescent="0.25">
      <c r="C4" s="33" t="str">
        <f>LEFT(A3,4)</f>
        <v>Baba</v>
      </c>
      <c r="D4" s="33" t="s">
        <v>196</v>
      </c>
    </row>
    <row r="5" spans="1:8" x14ac:dyDescent="0.25">
      <c r="C5" s="33" t="str">
        <f>MID(A2,8,4)</f>
        <v>şive</v>
      </c>
      <c r="D5" s="33" t="s">
        <v>197</v>
      </c>
    </row>
    <row r="6" spans="1:8" x14ac:dyDescent="0.25">
      <c r="C6" s="33" t="str">
        <f>CONCATENATE(A10," ",C10)</f>
        <v>Recep İvedik</v>
      </c>
      <c r="D6" s="33" t="s">
        <v>198</v>
      </c>
    </row>
    <row r="7" spans="1:8" x14ac:dyDescent="0.25">
      <c r="C7" s="33" t="str">
        <f>UPPER(A1)</f>
        <v>PASTANE</v>
      </c>
      <c r="D7" s="33" t="s">
        <v>199</v>
      </c>
    </row>
    <row r="8" spans="1:8" x14ac:dyDescent="0.25">
      <c r="C8" s="33" t="str">
        <f>LOWER(C6)</f>
        <v>recep ivedik</v>
      </c>
      <c r="D8" s="33" t="s">
        <v>200</v>
      </c>
    </row>
    <row r="9" spans="1:8" x14ac:dyDescent="0.25">
      <c r="D9" s="33" t="s">
        <v>201</v>
      </c>
    </row>
    <row r="10" spans="1:8" x14ac:dyDescent="0.25">
      <c r="A10" s="33" t="s">
        <v>202</v>
      </c>
      <c r="C10" s="33" t="s">
        <v>203</v>
      </c>
      <c r="D10" s="33" t="str">
        <f>PROPER(C8)</f>
        <v>Recep İvedik</v>
      </c>
    </row>
    <row r="11" spans="1:8" x14ac:dyDescent="0.25">
      <c r="D11" s="33" t="s">
        <v>191</v>
      </c>
    </row>
    <row r="12" spans="1:8" x14ac:dyDescent="0.25">
      <c r="D12" s="33" t="s">
        <v>204</v>
      </c>
      <c r="E12" s="33" t="s">
        <v>205</v>
      </c>
      <c r="F12" s="33" t="s">
        <v>206</v>
      </c>
      <c r="G12" s="33" t="s">
        <v>207</v>
      </c>
      <c r="H12" s="33" t="str">
        <f>CONCATENATE(PROPER(D12)," ",E12," ",PROPER(F12)," ",PROPER(G12))</f>
        <v>Eş ve Çocuk Yardımı</v>
      </c>
    </row>
    <row r="13" spans="1:8" x14ac:dyDescent="0.25">
      <c r="D13" s="33" t="str">
        <f>PROPER(D12)</f>
        <v>Eş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zoomScale="265" zoomScaleNormal="265" workbookViewId="0">
      <selection activeCell="B4" sqref="B4"/>
    </sheetView>
  </sheetViews>
  <sheetFormatPr defaultRowHeight="15" x14ac:dyDescent="0.25"/>
  <cols>
    <col min="1" max="1" width="9.140625" style="33"/>
    <col min="2" max="2" width="10.42578125" style="33" bestFit="1" customWidth="1"/>
    <col min="3" max="3" width="9.140625" style="33"/>
    <col min="4" max="4" width="9.85546875" style="33" bestFit="1" customWidth="1"/>
    <col min="5" max="5" width="9.28515625" style="33" bestFit="1" customWidth="1"/>
    <col min="6" max="6" width="9.85546875" style="33" bestFit="1" customWidth="1"/>
    <col min="7" max="8" width="11.42578125" style="33" bestFit="1" customWidth="1"/>
    <col min="9" max="16384" width="9.140625" style="33"/>
  </cols>
  <sheetData>
    <row r="1" spans="1:8" x14ac:dyDescent="0.25">
      <c r="A1" s="39" t="s">
        <v>125</v>
      </c>
      <c r="B1" s="39" t="s">
        <v>126</v>
      </c>
      <c r="C1" s="39" t="s">
        <v>127</v>
      </c>
      <c r="D1" s="40" t="s">
        <v>105</v>
      </c>
      <c r="E1" s="40" t="s">
        <v>106</v>
      </c>
      <c r="F1" s="40" t="s">
        <v>208</v>
      </c>
      <c r="H1" s="39" t="s">
        <v>209</v>
      </c>
    </row>
    <row r="2" spans="1:8" x14ac:dyDescent="0.25">
      <c r="A2" s="33" t="s">
        <v>210</v>
      </c>
      <c r="B2" s="41">
        <v>150</v>
      </c>
      <c r="C2" s="33">
        <v>48</v>
      </c>
      <c r="D2" s="41">
        <f>B2*C2</f>
        <v>7200</v>
      </c>
      <c r="E2" s="41">
        <f>IF(C2&gt;50,D2*12.5%,0)</f>
        <v>0</v>
      </c>
      <c r="F2" s="41">
        <f>D2-E2</f>
        <v>7200</v>
      </c>
      <c r="G2" s="41"/>
      <c r="H2" s="41">
        <f>IF(C2&gt;50,B2*C2*0.875,B2*C2)</f>
        <v>7200</v>
      </c>
    </row>
    <row r="3" spans="1:8" x14ac:dyDescent="0.25">
      <c r="A3" s="33" t="s">
        <v>211</v>
      </c>
      <c r="B3" s="41">
        <v>10</v>
      </c>
      <c r="C3" s="33">
        <v>50</v>
      </c>
      <c r="D3" s="41">
        <f t="shared" ref="D3:D5" si="0">B3*C3</f>
        <v>500</v>
      </c>
      <c r="E3" s="41">
        <f t="shared" ref="E3:E5" si="1">IF(C3&gt;50,D3*12.5%,0)</f>
        <v>0</v>
      </c>
      <c r="F3" s="41">
        <f t="shared" ref="F3:F5" si="2">D3-E3</f>
        <v>500</v>
      </c>
      <c r="G3" s="41"/>
      <c r="H3" s="41">
        <f t="shared" ref="H3:H5" si="3">IF(C3&gt;50,B3*C3*0.875,B3*C3)</f>
        <v>500</v>
      </c>
    </row>
    <row r="4" spans="1:8" x14ac:dyDescent="0.25">
      <c r="A4" s="33" t="s">
        <v>212</v>
      </c>
      <c r="B4" s="41">
        <v>15</v>
      </c>
      <c r="C4" s="33">
        <v>52</v>
      </c>
      <c r="D4" s="41">
        <f t="shared" si="0"/>
        <v>780</v>
      </c>
      <c r="E4" s="41">
        <f t="shared" si="1"/>
        <v>97.5</v>
      </c>
      <c r="F4" s="41">
        <f t="shared" si="2"/>
        <v>682.5</v>
      </c>
      <c r="G4" s="41"/>
      <c r="H4" s="41">
        <f t="shared" si="3"/>
        <v>682.5</v>
      </c>
    </row>
    <row r="5" spans="1:8" x14ac:dyDescent="0.25">
      <c r="A5" s="33" t="s">
        <v>213</v>
      </c>
      <c r="B5" s="41">
        <v>200</v>
      </c>
      <c r="C5" s="33">
        <v>15</v>
      </c>
      <c r="D5" s="41">
        <f t="shared" si="0"/>
        <v>3000</v>
      </c>
      <c r="E5" s="41">
        <f t="shared" si="1"/>
        <v>0</v>
      </c>
      <c r="F5" s="41">
        <f t="shared" si="2"/>
        <v>3000</v>
      </c>
      <c r="G5" s="41"/>
      <c r="H5" s="41">
        <f t="shared" si="3"/>
        <v>3000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205" zoomScaleNormal="205" workbookViewId="0">
      <selection activeCell="B4" sqref="B4"/>
    </sheetView>
  </sheetViews>
  <sheetFormatPr defaultRowHeight="15" x14ac:dyDescent="0.25"/>
  <cols>
    <col min="1" max="4" width="9.140625" style="33"/>
    <col min="5" max="5" width="12.28515625" style="33" customWidth="1"/>
    <col min="6" max="16384" width="9.140625" style="33"/>
  </cols>
  <sheetData>
    <row r="1" spans="1:8" x14ac:dyDescent="0.25">
      <c r="A1" s="42" t="s">
        <v>144</v>
      </c>
      <c r="B1" s="42" t="s">
        <v>214</v>
      </c>
      <c r="C1" s="42" t="s">
        <v>127</v>
      </c>
      <c r="D1" s="42" t="s">
        <v>215</v>
      </c>
      <c r="E1" s="33" t="s">
        <v>216</v>
      </c>
      <c r="F1" s="33" t="s">
        <v>105</v>
      </c>
    </row>
    <row r="2" spans="1:8" x14ac:dyDescent="0.25">
      <c r="A2" s="33" t="s">
        <v>217</v>
      </c>
      <c r="B2" s="33">
        <v>200</v>
      </c>
      <c r="C2" s="33">
        <v>3</v>
      </c>
      <c r="D2" s="33" t="s">
        <v>218</v>
      </c>
      <c r="E2" s="33">
        <f>IF(D2="Bayi",B2*0.8,IF(D2="Peşin",B2*0.85,IF(D2="Vadeli",B2,"Hata!")))</f>
        <v>160</v>
      </c>
      <c r="F2" s="33">
        <f>C2*E2</f>
        <v>480</v>
      </c>
      <c r="H2" s="33" t="s">
        <v>218</v>
      </c>
    </row>
    <row r="3" spans="1:8" x14ac:dyDescent="0.25">
      <c r="A3" s="33" t="s">
        <v>219</v>
      </c>
      <c r="B3" s="33">
        <v>500</v>
      </c>
      <c r="C3" s="33">
        <v>5</v>
      </c>
      <c r="D3" s="33" t="s">
        <v>220</v>
      </c>
      <c r="E3" s="33">
        <f t="shared" ref="E3:E5" si="0">IF(D3="Bayi",B3*0.8,IF(D3="Peşin",B3*0.85,IF(D3="Vadeli",B3,"Hata!")))</f>
        <v>425</v>
      </c>
      <c r="F3" s="33">
        <f t="shared" ref="F3:F5" si="1">C3*E3</f>
        <v>2125</v>
      </c>
      <c r="H3" s="33" t="s">
        <v>220</v>
      </c>
    </row>
    <row r="4" spans="1:8" x14ac:dyDescent="0.25">
      <c r="A4" s="33" t="s">
        <v>221</v>
      </c>
      <c r="B4" s="33">
        <v>750</v>
      </c>
      <c r="C4" s="33">
        <v>8</v>
      </c>
      <c r="D4" s="33" t="s">
        <v>222</v>
      </c>
      <c r="E4" s="33">
        <f t="shared" si="0"/>
        <v>750</v>
      </c>
      <c r="F4" s="33">
        <f t="shared" si="1"/>
        <v>6000</v>
      </c>
      <c r="H4" s="33" t="s">
        <v>222</v>
      </c>
    </row>
    <row r="5" spans="1:8" x14ac:dyDescent="0.25">
      <c r="A5" s="33" t="s">
        <v>223</v>
      </c>
      <c r="B5" s="33">
        <v>100</v>
      </c>
      <c r="C5" s="33">
        <v>12</v>
      </c>
      <c r="D5" s="33" t="s">
        <v>218</v>
      </c>
      <c r="E5" s="33">
        <f t="shared" si="0"/>
        <v>80</v>
      </c>
      <c r="F5" s="33">
        <f t="shared" si="1"/>
        <v>960</v>
      </c>
    </row>
    <row r="8" spans="1:8" x14ac:dyDescent="0.25">
      <c r="C8" s="33" t="s">
        <v>224</v>
      </c>
    </row>
    <row r="9" spans="1:8" x14ac:dyDescent="0.25">
      <c r="C9" s="33" t="s">
        <v>225</v>
      </c>
    </row>
    <row r="10" spans="1:8" x14ac:dyDescent="0.25">
      <c r="C10" s="33" t="s">
        <v>226</v>
      </c>
    </row>
  </sheetData>
  <dataValidations count="1">
    <dataValidation type="list" showInputMessage="1" showErrorMessage="1" errorTitle="Hatalı Müşteri!" error="Hatalı müşteri türü girdiniz, lütfen düzeltiniz." promptTitle="Müşteri" prompt="Lütfen listeden müşteri türü seçiniz." sqref="D2:D5">
      <formula1>$H$2:$H$4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C1" zoomScale="265" zoomScaleNormal="265" workbookViewId="0">
      <selection activeCell="B4" sqref="B4"/>
    </sheetView>
  </sheetViews>
  <sheetFormatPr defaultRowHeight="15" x14ac:dyDescent="0.25"/>
  <cols>
    <col min="1" max="2" width="9.140625" style="33"/>
    <col min="3" max="3" width="11.7109375" style="44" bestFit="1" customWidth="1"/>
    <col min="4" max="4" width="11.42578125" style="44" bestFit="1" customWidth="1"/>
    <col min="5" max="5" width="9.140625" style="33"/>
    <col min="6" max="6" width="12.7109375" style="33" bestFit="1" customWidth="1"/>
    <col min="7" max="16384" width="9.140625" style="33"/>
  </cols>
  <sheetData>
    <row r="1" spans="1:6" x14ac:dyDescent="0.25">
      <c r="A1" s="42" t="s">
        <v>227</v>
      </c>
      <c r="B1" s="42" t="s">
        <v>109</v>
      </c>
      <c r="C1" s="43" t="s">
        <v>228</v>
      </c>
      <c r="D1" s="43" t="s">
        <v>229</v>
      </c>
      <c r="E1" s="33" t="s">
        <v>230</v>
      </c>
      <c r="F1" s="33" t="s">
        <v>231</v>
      </c>
    </row>
    <row r="2" spans="1:6" x14ac:dyDescent="0.25">
      <c r="A2" s="33">
        <v>178</v>
      </c>
      <c r="B2" s="33">
        <v>2500</v>
      </c>
      <c r="C2" s="44" t="s">
        <v>232</v>
      </c>
      <c r="D2" s="44">
        <v>0</v>
      </c>
      <c r="E2" s="33">
        <f>IF(C2="B",0,IF(D2&gt;0,B2*0.1,B2*0.05))</f>
        <v>0</v>
      </c>
      <c r="F2" s="33">
        <f>B2+E2</f>
        <v>2500</v>
      </c>
    </row>
    <row r="3" spans="1:6" x14ac:dyDescent="0.25">
      <c r="A3" s="33">
        <v>185</v>
      </c>
      <c r="B3" s="33">
        <v>2000</v>
      </c>
      <c r="C3" s="44" t="s">
        <v>233</v>
      </c>
      <c r="D3" s="44">
        <v>4</v>
      </c>
      <c r="E3" s="33">
        <f t="shared" ref="E3:E5" si="0">IF(C3="B",0,IF(D3&gt;0,B3*0.1,B3*0.05))</f>
        <v>200</v>
      </c>
      <c r="F3" s="33">
        <f t="shared" ref="F3:F5" si="1">B3+E3</f>
        <v>2200</v>
      </c>
    </row>
    <row r="4" spans="1:6" x14ac:dyDescent="0.25">
      <c r="A4" s="33">
        <v>226</v>
      </c>
      <c r="B4" s="33">
        <v>3500</v>
      </c>
      <c r="C4" s="44" t="s">
        <v>233</v>
      </c>
      <c r="D4" s="44">
        <v>0</v>
      </c>
      <c r="E4" s="33">
        <f t="shared" si="0"/>
        <v>175</v>
      </c>
      <c r="F4" s="33">
        <f t="shared" si="1"/>
        <v>3675</v>
      </c>
    </row>
    <row r="5" spans="1:6" x14ac:dyDescent="0.25">
      <c r="A5" s="33">
        <v>478</v>
      </c>
      <c r="B5" s="33">
        <v>5000</v>
      </c>
      <c r="C5" s="44" t="s">
        <v>233</v>
      </c>
      <c r="D5" s="44">
        <v>1</v>
      </c>
      <c r="E5" s="33">
        <f t="shared" si="0"/>
        <v>500</v>
      </c>
      <c r="F5" s="33">
        <f t="shared" si="1"/>
        <v>5500</v>
      </c>
    </row>
    <row r="7" spans="1:6" x14ac:dyDescent="0.25">
      <c r="C7" s="44" t="s">
        <v>234</v>
      </c>
      <c r="D7" s="44">
        <v>0</v>
      </c>
    </row>
    <row r="8" spans="1:6" x14ac:dyDescent="0.25">
      <c r="C8" s="44" t="s">
        <v>235</v>
      </c>
      <c r="D8" s="45">
        <v>0.1</v>
      </c>
    </row>
    <row r="9" spans="1:6" x14ac:dyDescent="0.25">
      <c r="C9" s="44" t="s">
        <v>236</v>
      </c>
      <c r="D9" s="45">
        <v>0.05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280" zoomScaleNormal="280" workbookViewId="0">
      <selection activeCell="B4" sqref="B4"/>
    </sheetView>
  </sheetViews>
  <sheetFormatPr defaultRowHeight="15" x14ac:dyDescent="0.25"/>
  <cols>
    <col min="1" max="1" width="9.140625" style="33"/>
    <col min="2" max="2" width="9.7109375" style="33" bestFit="1" customWidth="1"/>
    <col min="3" max="3" width="11.7109375" style="44" bestFit="1" customWidth="1"/>
    <col min="4" max="4" width="11.42578125" style="44" bestFit="1" customWidth="1"/>
    <col min="5" max="5" width="9.140625" style="33"/>
    <col min="6" max="6" width="12.7109375" style="33" bestFit="1" customWidth="1"/>
    <col min="7" max="7" width="10.42578125" style="33" customWidth="1"/>
    <col min="8" max="16384" width="9.140625" style="33"/>
  </cols>
  <sheetData>
    <row r="1" spans="1:11" x14ac:dyDescent="0.25">
      <c r="A1" s="42" t="s">
        <v>227</v>
      </c>
      <c r="B1" s="42" t="s">
        <v>109</v>
      </c>
      <c r="C1" s="43" t="s">
        <v>228</v>
      </c>
      <c r="D1" s="43" t="s">
        <v>229</v>
      </c>
      <c r="E1" s="33" t="s">
        <v>230</v>
      </c>
      <c r="F1" s="33" t="s">
        <v>231</v>
      </c>
    </row>
    <row r="2" spans="1:11" x14ac:dyDescent="0.25">
      <c r="A2" s="33">
        <v>178</v>
      </c>
      <c r="B2" s="46">
        <v>2500</v>
      </c>
      <c r="C2" s="44" t="s">
        <v>232</v>
      </c>
      <c r="D2" s="44">
        <v>0</v>
      </c>
      <c r="E2" s="33">
        <f>IF(C2="B",0,IF(D2&gt;5,B2*0.2,IF(D2&gt;2,B2*0.15,IF(D2&gt;0,B2*0.1,B2*0.05))))</f>
        <v>0</v>
      </c>
      <c r="F2" s="46">
        <f>B2+E2</f>
        <v>2500</v>
      </c>
    </row>
    <row r="3" spans="1:11" x14ac:dyDescent="0.25">
      <c r="A3" s="33">
        <v>185</v>
      </c>
      <c r="B3" s="46">
        <v>2000</v>
      </c>
      <c r="C3" s="44" t="s">
        <v>233</v>
      </c>
      <c r="D3" s="44">
        <v>4</v>
      </c>
      <c r="E3" s="33">
        <f t="shared" ref="E3:E5" si="0">IF(C3="B",0,IF(D3&gt;5,B3*0.2,IF(D3&gt;2,B3*0.15,IF(D3&gt;0,B3*0.1,B3*0.05))))</f>
        <v>300</v>
      </c>
      <c r="F3" s="46">
        <f t="shared" ref="F3:F5" si="1">B3+E3</f>
        <v>2300</v>
      </c>
    </row>
    <row r="4" spans="1:11" x14ac:dyDescent="0.25">
      <c r="A4" s="33">
        <v>226</v>
      </c>
      <c r="B4" s="46">
        <v>3500</v>
      </c>
      <c r="C4" s="44" t="s">
        <v>233</v>
      </c>
      <c r="D4" s="44">
        <v>0</v>
      </c>
      <c r="E4" s="33">
        <f t="shared" si="0"/>
        <v>175</v>
      </c>
      <c r="F4" s="46">
        <f t="shared" si="1"/>
        <v>3675</v>
      </c>
      <c r="H4" s="33" t="s">
        <v>237</v>
      </c>
      <c r="I4" s="33" t="s">
        <v>238</v>
      </c>
      <c r="J4" s="33" t="s">
        <v>239</v>
      </c>
      <c r="K4" s="33" t="s">
        <v>240</v>
      </c>
    </row>
    <row r="5" spans="1:11" x14ac:dyDescent="0.25">
      <c r="A5" s="33">
        <v>478</v>
      </c>
      <c r="B5" s="46">
        <v>5000</v>
      </c>
      <c r="C5" s="44" t="s">
        <v>233</v>
      </c>
      <c r="D5" s="44">
        <v>1</v>
      </c>
      <c r="E5" s="33">
        <f t="shared" si="0"/>
        <v>500</v>
      </c>
      <c r="F5" s="46">
        <f t="shared" si="1"/>
        <v>5500</v>
      </c>
    </row>
    <row r="7" spans="1:11" x14ac:dyDescent="0.25">
      <c r="B7" s="33" t="s">
        <v>241</v>
      </c>
      <c r="G7" s="33" t="s">
        <v>242</v>
      </c>
    </row>
    <row r="8" spans="1:11" x14ac:dyDescent="0.25">
      <c r="B8" s="33" t="s">
        <v>243</v>
      </c>
      <c r="G8" s="33" t="s">
        <v>244</v>
      </c>
      <c r="H8" s="33" t="s">
        <v>245</v>
      </c>
    </row>
    <row r="9" spans="1:11" x14ac:dyDescent="0.25">
      <c r="B9" s="33" t="s">
        <v>246</v>
      </c>
    </row>
    <row r="10" spans="1:11" x14ac:dyDescent="0.25">
      <c r="B10" s="33" t="s">
        <v>247</v>
      </c>
    </row>
    <row r="11" spans="1:11" x14ac:dyDescent="0.25">
      <c r="B11" s="33">
        <v>6</v>
      </c>
    </row>
    <row r="12" spans="1:11" x14ac:dyDescent="0.25">
      <c r="B12" s="33" t="s">
        <v>248</v>
      </c>
      <c r="G12" s="33" t="s">
        <v>249</v>
      </c>
    </row>
    <row r="13" spans="1:11" x14ac:dyDescent="0.25">
      <c r="B13" s="33" t="s">
        <v>250</v>
      </c>
    </row>
    <row r="14" spans="1:11" x14ac:dyDescent="0.25">
      <c r="B14" s="47" t="s">
        <v>251</v>
      </c>
      <c r="C14" s="48" t="s">
        <v>252</v>
      </c>
      <c r="D14" s="48" t="s">
        <v>244</v>
      </c>
      <c r="E14" s="47" t="s">
        <v>253</v>
      </c>
      <c r="F14" s="47" t="s">
        <v>239</v>
      </c>
    </row>
    <row r="15" spans="1:11" x14ac:dyDescent="0.25">
      <c r="B15" s="33" t="s">
        <v>254</v>
      </c>
      <c r="C15" s="33" t="s">
        <v>255</v>
      </c>
      <c r="D15" s="33" t="s">
        <v>242</v>
      </c>
      <c r="E15" s="44" t="s">
        <v>256</v>
      </c>
      <c r="F15" s="44" t="s">
        <v>257</v>
      </c>
    </row>
    <row r="16" spans="1:11" x14ac:dyDescent="0.25">
      <c r="B16" s="33">
        <v>0</v>
      </c>
      <c r="C16" s="44" t="s">
        <v>258</v>
      </c>
      <c r="D16" s="44" t="s">
        <v>259</v>
      </c>
      <c r="E16" s="33" t="s">
        <v>260</v>
      </c>
      <c r="F16" s="33" t="s">
        <v>261</v>
      </c>
    </row>
    <row r="18" spans="1:7" ht="25.5" customHeight="1" x14ac:dyDescent="0.25">
      <c r="A18" s="49" t="s">
        <v>262</v>
      </c>
      <c r="B18" s="49"/>
      <c r="C18" s="49"/>
      <c r="D18" s="49"/>
      <c r="E18" s="49"/>
      <c r="F18" s="49"/>
      <c r="G18" s="49"/>
    </row>
    <row r="19" spans="1:7" ht="25.5" customHeight="1" x14ac:dyDescent="0.25">
      <c r="A19" s="49"/>
      <c r="B19" s="49"/>
      <c r="C19" s="49"/>
      <c r="D19" s="49"/>
      <c r="E19" s="49"/>
      <c r="F19" s="49"/>
      <c r="G19" s="49"/>
    </row>
  </sheetData>
  <mergeCells count="1">
    <mergeCell ref="A18:G1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205" zoomScaleNormal="205" workbookViewId="0">
      <selection activeCell="B4" sqref="B4"/>
    </sheetView>
  </sheetViews>
  <sheetFormatPr defaultRowHeight="15" x14ac:dyDescent="0.25"/>
  <cols>
    <col min="1" max="1" width="9.140625" style="33"/>
    <col min="2" max="2" width="9.7109375" style="33" bestFit="1" customWidth="1"/>
    <col min="3" max="3" width="11.7109375" style="44" bestFit="1" customWidth="1"/>
    <col min="4" max="4" width="11.42578125" style="44" bestFit="1" customWidth="1"/>
    <col min="5" max="5" width="9.140625" style="33"/>
    <col min="6" max="6" width="16.5703125" style="33" customWidth="1"/>
    <col min="7" max="7" width="12.7109375" style="33" bestFit="1" customWidth="1"/>
    <col min="8" max="16384" width="9.140625" style="33"/>
  </cols>
  <sheetData>
    <row r="1" spans="1:7" x14ac:dyDescent="0.25">
      <c r="A1" s="42" t="s">
        <v>227</v>
      </c>
      <c r="B1" s="42" t="s">
        <v>109</v>
      </c>
      <c r="C1" s="43" t="s">
        <v>228</v>
      </c>
      <c r="D1" s="43" t="s">
        <v>229</v>
      </c>
      <c r="E1" s="33" t="s">
        <v>230</v>
      </c>
      <c r="F1" s="42" t="s">
        <v>263</v>
      </c>
      <c r="G1" s="33" t="s">
        <v>231</v>
      </c>
    </row>
    <row r="2" spans="1:7" x14ac:dyDescent="0.25">
      <c r="A2" s="33">
        <v>178</v>
      </c>
      <c r="B2" s="46">
        <v>2500</v>
      </c>
      <c r="C2" s="44" t="s">
        <v>232</v>
      </c>
      <c r="D2" s="44">
        <v>0</v>
      </c>
      <c r="E2" s="33">
        <f>IF(C2="B",0,IF(F2="E",-B2*0.05,IF(D2&gt;5,B2*0.2,IF(D2&gt;2,B2*0.15,IF(D2&gt;0,B2*0.1,B2*0.05)))))</f>
        <v>0</v>
      </c>
      <c r="F2" s="44" t="s">
        <v>264</v>
      </c>
      <c r="G2" s="46">
        <f>B2+E2</f>
        <v>2500</v>
      </c>
    </row>
    <row r="3" spans="1:7" x14ac:dyDescent="0.25">
      <c r="A3" s="33">
        <v>185</v>
      </c>
      <c r="B3" s="46">
        <v>2000</v>
      </c>
      <c r="C3" s="44" t="s">
        <v>233</v>
      </c>
      <c r="D3" s="44">
        <v>4</v>
      </c>
      <c r="E3" s="33">
        <f>IF(C3="B",0,IF(F3="E",-B3*0.05,IF(D3&gt;5,B3*0.2,IF(D3&gt;2,B3*0.15,IF(D3&gt;0,B3*0.1,B3*0.05)))))</f>
        <v>-100</v>
      </c>
      <c r="F3" s="44" t="s">
        <v>233</v>
      </c>
      <c r="G3" s="46">
        <f t="shared" ref="G3:G5" si="0">B3+E3</f>
        <v>1900</v>
      </c>
    </row>
    <row r="4" spans="1:7" x14ac:dyDescent="0.25">
      <c r="A4" s="33">
        <v>226</v>
      </c>
      <c r="B4" s="46">
        <v>3500</v>
      </c>
      <c r="C4" s="44" t="s">
        <v>233</v>
      </c>
      <c r="D4" s="44">
        <v>0</v>
      </c>
      <c r="E4" s="33">
        <f>IF(C4="B",0,IF(F4="E",-B4*0.05,IF(D4&gt;5,B4*0.2,IF(D4&gt;2,B4*0.15,IF(D4&gt;0,B4*0.1,B4*0.05)))))</f>
        <v>175</v>
      </c>
      <c r="F4" s="44" t="s">
        <v>264</v>
      </c>
      <c r="G4" s="46">
        <f t="shared" si="0"/>
        <v>3675</v>
      </c>
    </row>
    <row r="5" spans="1:7" x14ac:dyDescent="0.25">
      <c r="A5" s="33">
        <v>478</v>
      </c>
      <c r="B5" s="46">
        <v>5000</v>
      </c>
      <c r="C5" s="44" t="s">
        <v>233</v>
      </c>
      <c r="D5" s="44">
        <v>1</v>
      </c>
      <c r="E5" s="33">
        <f>IF(C5="B",0,IF(F5="E",-B5*0.05,IF(D5&gt;5,B5*0.2,IF(D5&gt;2,B5*0.15,IF(D5&gt;0,B5*0.1,B5*0.05)))))</f>
        <v>-250</v>
      </c>
      <c r="F5" s="44" t="s">
        <v>233</v>
      </c>
      <c r="G5" s="46">
        <f t="shared" si="0"/>
        <v>4750</v>
      </c>
    </row>
    <row r="8" spans="1:7" x14ac:dyDescent="0.25">
      <c r="C8" s="44" t="s">
        <v>265</v>
      </c>
    </row>
    <row r="9" spans="1:7" x14ac:dyDescent="0.25">
      <c r="B9" s="47" t="s">
        <v>251</v>
      </c>
      <c r="C9" s="50" t="s">
        <v>266</v>
      </c>
      <c r="D9" s="48" t="s">
        <v>252</v>
      </c>
      <c r="E9" s="48" t="s">
        <v>244</v>
      </c>
      <c r="F9" s="47" t="s">
        <v>253</v>
      </c>
      <c r="G9" s="47" t="s">
        <v>239</v>
      </c>
    </row>
    <row r="10" spans="1:7" x14ac:dyDescent="0.25">
      <c r="B10" s="33" t="s">
        <v>254</v>
      </c>
      <c r="C10" s="44" t="s">
        <v>267</v>
      </c>
      <c r="D10" s="33" t="s">
        <v>255</v>
      </c>
      <c r="E10" s="33" t="s">
        <v>242</v>
      </c>
      <c r="F10" s="44" t="s">
        <v>256</v>
      </c>
      <c r="G10" s="44" t="s">
        <v>257</v>
      </c>
    </row>
    <row r="11" spans="1:7" x14ac:dyDescent="0.25">
      <c r="B11" s="33">
        <v>0</v>
      </c>
      <c r="C11" s="44" t="str">
        <f>"-m*0,05"</f>
        <v>-m*0,05</v>
      </c>
      <c r="D11" s="44" t="s">
        <v>258</v>
      </c>
      <c r="E11" s="44" t="s">
        <v>259</v>
      </c>
      <c r="F11" s="33" t="s">
        <v>260</v>
      </c>
      <c r="G11" s="33" t="s">
        <v>261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90" zoomScaleNormal="190" workbookViewId="0">
      <selection activeCell="B4" sqref="B4"/>
    </sheetView>
  </sheetViews>
  <sheetFormatPr defaultRowHeight="15" x14ac:dyDescent="0.25"/>
  <cols>
    <col min="1" max="1" width="10.5703125" style="33" bestFit="1" customWidth="1"/>
    <col min="2" max="2" width="9.140625" style="33"/>
    <col min="3" max="3" width="25.7109375" style="33" customWidth="1"/>
    <col min="4" max="4" width="37.42578125" style="33" customWidth="1"/>
    <col min="5" max="16384" width="9.140625" style="33"/>
  </cols>
  <sheetData>
    <row r="1" spans="1:6" x14ac:dyDescent="0.25">
      <c r="A1" s="51">
        <v>42796</v>
      </c>
      <c r="D1" s="33" t="s">
        <v>268</v>
      </c>
    </row>
    <row r="2" spans="1:6" x14ac:dyDescent="0.25">
      <c r="A2" s="52">
        <v>0.71710648148148148</v>
      </c>
      <c r="D2" s="33" t="s">
        <v>269</v>
      </c>
    </row>
    <row r="3" spans="1:6" x14ac:dyDescent="0.25">
      <c r="B3" s="33">
        <f>DAY(A1)</f>
        <v>2</v>
      </c>
      <c r="C3" s="33" t="s">
        <v>270</v>
      </c>
      <c r="D3" s="33" t="s">
        <v>271</v>
      </c>
    </row>
    <row r="4" spans="1:6" x14ac:dyDescent="0.25">
      <c r="B4" s="33">
        <f>MONTH(A1)</f>
        <v>3</v>
      </c>
      <c r="C4" s="53" t="s">
        <v>272</v>
      </c>
      <c r="D4" s="33" t="s">
        <v>273</v>
      </c>
    </row>
    <row r="5" spans="1:6" x14ac:dyDescent="0.25">
      <c r="B5" s="33">
        <f>YEAR(A1)</f>
        <v>2017</v>
      </c>
      <c r="C5" s="33" t="s">
        <v>274</v>
      </c>
      <c r="D5" s="33" t="s">
        <v>275</v>
      </c>
    </row>
    <row r="6" spans="1:6" x14ac:dyDescent="0.25">
      <c r="B6" s="33">
        <f>HOUR(A2)</f>
        <v>17</v>
      </c>
      <c r="C6" s="33" t="s">
        <v>276</v>
      </c>
      <c r="D6" s="33" t="s">
        <v>277</v>
      </c>
    </row>
    <row r="7" spans="1:6" x14ac:dyDescent="0.25">
      <c r="B7" s="33">
        <f>MINUTE(A2)</f>
        <v>12</v>
      </c>
      <c r="C7" s="33" t="s">
        <v>278</v>
      </c>
      <c r="D7" s="33" t="s">
        <v>279</v>
      </c>
    </row>
    <row r="8" spans="1:6" x14ac:dyDescent="0.25">
      <c r="B8" s="33">
        <f>SECOND(A2)</f>
        <v>38</v>
      </c>
      <c r="C8" s="33" t="s">
        <v>280</v>
      </c>
      <c r="D8" s="33" t="s">
        <v>281</v>
      </c>
    </row>
    <row r="9" spans="1:6" x14ac:dyDescent="0.25">
      <c r="B9" s="33">
        <f>DATEVALUE("02.03.2017")</f>
        <v>42796</v>
      </c>
      <c r="C9" s="33" t="s">
        <v>282</v>
      </c>
      <c r="D9" s="33" t="s">
        <v>283</v>
      </c>
      <c r="E9" s="54" t="s">
        <v>284</v>
      </c>
      <c r="F9" s="54"/>
    </row>
    <row r="10" spans="1:6" x14ac:dyDescent="0.25">
      <c r="B10" s="33">
        <f>TIMEVALUE("17:12:38")</f>
        <v>0.71710648148148148</v>
      </c>
      <c r="C10" s="33" t="s">
        <v>285</v>
      </c>
      <c r="D10" s="33" t="s">
        <v>286</v>
      </c>
      <c r="E10" s="54"/>
      <c r="F10" s="54"/>
    </row>
    <row r="11" spans="1:6" ht="46.5" customHeight="1" x14ac:dyDescent="0.25">
      <c r="B11" s="33">
        <f>WEEKDAY(A1,2)</f>
        <v>4</v>
      </c>
      <c r="C11" s="36" t="s">
        <v>287</v>
      </c>
      <c r="D11" s="55" t="s">
        <v>288</v>
      </c>
    </row>
    <row r="12" spans="1:6" x14ac:dyDescent="0.25">
      <c r="D12" s="56" t="s">
        <v>289</v>
      </c>
    </row>
    <row r="13" spans="1:6" x14ac:dyDescent="0.25">
      <c r="D13" s="56"/>
    </row>
  </sheetData>
  <mergeCells count="2">
    <mergeCell ref="E9:F10"/>
    <mergeCell ref="D12:D1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90" zoomScaleNormal="190" workbookViewId="0">
      <selection activeCell="B4" sqref="B4"/>
    </sheetView>
  </sheetViews>
  <sheetFormatPr defaultRowHeight="15" x14ac:dyDescent="0.25"/>
  <cols>
    <col min="1" max="1" width="10.42578125" style="33" bestFit="1" customWidth="1"/>
    <col min="2" max="2" width="13.28515625" style="33" bestFit="1" customWidth="1"/>
    <col min="3" max="3" width="9.85546875" style="33" customWidth="1"/>
    <col min="4" max="16384" width="9.140625" style="33"/>
  </cols>
  <sheetData>
    <row r="1" spans="1:9" x14ac:dyDescent="0.25">
      <c r="A1" s="33" t="s">
        <v>290</v>
      </c>
      <c r="B1" s="33" t="s">
        <v>291</v>
      </c>
      <c r="C1" s="33" t="s">
        <v>292</v>
      </c>
    </row>
    <row r="2" spans="1:9" x14ac:dyDescent="0.25">
      <c r="A2" s="33">
        <v>1000</v>
      </c>
      <c r="B2" s="57">
        <v>0.50347222222222221</v>
      </c>
      <c r="C2" s="33">
        <f>IF(B2&gt;başlangıç,A2*0.8,0)</f>
        <v>800</v>
      </c>
      <c r="E2" s="33" t="s">
        <v>293</v>
      </c>
    </row>
    <row r="3" spans="1:9" x14ac:dyDescent="0.25">
      <c r="A3" s="33">
        <v>2000</v>
      </c>
      <c r="B3" s="58">
        <v>0.54166666666666663</v>
      </c>
      <c r="C3" s="33">
        <f>IF(B3&gt;başlangıç,A3*0.8,0)</f>
        <v>1600</v>
      </c>
      <c r="E3" s="33" t="s">
        <v>294</v>
      </c>
    </row>
    <row r="4" spans="1:9" x14ac:dyDescent="0.25">
      <c r="A4" s="33">
        <v>3000</v>
      </c>
      <c r="B4" s="58">
        <v>0.49305555555555558</v>
      </c>
      <c r="C4" s="33">
        <f>IF(B4&gt;başlangıç,A4*0.8,0)</f>
        <v>0</v>
      </c>
    </row>
    <row r="5" spans="1:9" x14ac:dyDescent="0.25">
      <c r="A5" s="33">
        <v>4000</v>
      </c>
      <c r="B5" s="58">
        <v>0.5625</v>
      </c>
      <c r="C5" s="33">
        <f>IF(B5&gt;başlangıç,A5*0.8,0)</f>
        <v>3200</v>
      </c>
      <c r="E5" s="33" t="s">
        <v>295</v>
      </c>
      <c r="H5" s="33" t="s">
        <v>296</v>
      </c>
      <c r="I5" s="33" t="s">
        <v>297</v>
      </c>
    </row>
    <row r="6" spans="1:9" x14ac:dyDescent="0.25">
      <c r="B6" s="58"/>
      <c r="E6" s="33" t="s">
        <v>298</v>
      </c>
      <c r="H6" s="58">
        <v>0.5</v>
      </c>
      <c r="I6" s="58">
        <v>0.54166666666666663</v>
      </c>
    </row>
    <row r="7" spans="1:9" x14ac:dyDescent="0.25">
      <c r="A7" s="33" t="s">
        <v>290</v>
      </c>
      <c r="B7" s="33" t="s">
        <v>291</v>
      </c>
      <c r="C7" s="33" t="s">
        <v>299</v>
      </c>
    </row>
    <row r="8" spans="1:9" x14ac:dyDescent="0.25">
      <c r="A8" s="33">
        <v>1000</v>
      </c>
      <c r="B8" s="57">
        <v>0.50347222222222221</v>
      </c>
      <c r="C8" s="33">
        <f>IF(AND(B8&gt;=başlangıç,B8&lt;=bitiş),A8*0.2,0)</f>
        <v>200</v>
      </c>
      <c r="E8" s="33">
        <f>TIMEVALUE("12:00")</f>
        <v>0.5</v>
      </c>
      <c r="F8" s="33">
        <f>TIMEVALUE("13:00")</f>
        <v>0.54166666666666663</v>
      </c>
      <c r="G8" s="59">
        <v>0.5</v>
      </c>
      <c r="H8" s="33">
        <v>0</v>
      </c>
    </row>
    <row r="9" spans="1:9" x14ac:dyDescent="0.25">
      <c r="A9" s="33">
        <v>2000</v>
      </c>
      <c r="B9" s="58">
        <v>0.54166666666666663</v>
      </c>
      <c r="C9" s="33">
        <f>IF(AND(B9&gt;=başlangıç,B9&lt;=bitiş),A9*0.2,0)</f>
        <v>400</v>
      </c>
      <c r="E9" s="59"/>
    </row>
    <row r="10" spans="1:9" x14ac:dyDescent="0.25">
      <c r="A10" s="33">
        <v>3000</v>
      </c>
      <c r="B10" s="58">
        <v>0.49305555555555558</v>
      </c>
      <c r="C10" s="33">
        <f>IF(AND(B10&gt;=başlangıç,B10&lt;=bitiş),A10*0.2,0)</f>
        <v>0</v>
      </c>
    </row>
    <row r="11" spans="1:9" x14ac:dyDescent="0.25">
      <c r="A11" s="33">
        <v>4000</v>
      </c>
      <c r="B11" s="58">
        <v>0.5625</v>
      </c>
      <c r="C11" s="33">
        <f>IF(AND(B11&gt;=başlangıç,B11&lt;=bitiş),A11*0.2,0)</f>
        <v>0</v>
      </c>
      <c r="D11" s="33" t="s">
        <v>300</v>
      </c>
    </row>
    <row r="12" spans="1:9" x14ac:dyDescent="0.25">
      <c r="D12" s="33" t="s">
        <v>301</v>
      </c>
    </row>
    <row r="13" spans="1:9" x14ac:dyDescent="0.25">
      <c r="D13" s="33" t="s">
        <v>302</v>
      </c>
    </row>
    <row r="15" spans="1:9" ht="21" x14ac:dyDescent="0.35">
      <c r="A15" s="60" t="s">
        <v>243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C1" zoomScale="220" zoomScaleNormal="220" workbookViewId="0">
      <selection activeCell="B4" sqref="B4"/>
    </sheetView>
  </sheetViews>
  <sheetFormatPr defaultRowHeight="15" x14ac:dyDescent="0.25"/>
  <cols>
    <col min="1" max="16384" width="9.140625" style="33"/>
  </cols>
  <sheetData>
    <row r="1" spans="1:11" ht="22.5" customHeight="1" x14ac:dyDescent="0.25">
      <c r="A1" s="61" t="s">
        <v>303</v>
      </c>
      <c r="B1" s="61" t="s">
        <v>144</v>
      </c>
      <c r="C1" s="61" t="s">
        <v>304</v>
      </c>
      <c r="D1" s="61" t="s">
        <v>305</v>
      </c>
      <c r="E1" s="61" t="s">
        <v>306</v>
      </c>
      <c r="F1" s="61" t="s">
        <v>307</v>
      </c>
      <c r="G1" s="61" t="s">
        <v>216</v>
      </c>
      <c r="H1" s="61" t="s">
        <v>308</v>
      </c>
      <c r="I1" s="61" t="s">
        <v>309</v>
      </c>
    </row>
    <row r="2" spans="1:11" x14ac:dyDescent="0.25">
      <c r="A2" s="61"/>
      <c r="B2" s="61"/>
      <c r="C2" s="61"/>
      <c r="D2" s="61"/>
      <c r="E2" s="61"/>
      <c r="F2" s="61"/>
      <c r="G2" s="61"/>
      <c r="H2" s="61"/>
      <c r="I2" s="61"/>
      <c r="K2" s="33">
        <v>100</v>
      </c>
    </row>
    <row r="3" spans="1:11" x14ac:dyDescent="0.25">
      <c r="A3" s="62" t="s">
        <v>310</v>
      </c>
      <c r="B3" s="62" t="s">
        <v>311</v>
      </c>
      <c r="C3" s="63">
        <v>1.5</v>
      </c>
      <c r="D3" s="62" t="s">
        <v>312</v>
      </c>
      <c r="E3" s="64">
        <f>IF(D3="K",0.25,IF(D3="G",0.08,0.18))</f>
        <v>0.25</v>
      </c>
      <c r="F3" s="62">
        <f t="shared" ref="F3:F10" si="0">WEEKDAY(H3,2)</f>
        <v>3</v>
      </c>
      <c r="G3" s="63">
        <f>IF(OR(F3=2,F3=6),C3*0.88,C3)</f>
        <v>1.5</v>
      </c>
      <c r="H3" s="65">
        <v>41346</v>
      </c>
      <c r="I3" s="63">
        <f>CEILING(G3*(1+E3),0.05)</f>
        <v>1.9000000000000001</v>
      </c>
      <c r="K3" s="33">
        <v>18</v>
      </c>
    </row>
    <row r="4" spans="1:11" x14ac:dyDescent="0.25">
      <c r="A4" s="62" t="s">
        <v>313</v>
      </c>
      <c r="B4" s="62" t="s">
        <v>314</v>
      </c>
      <c r="C4" s="63">
        <v>0.75</v>
      </c>
      <c r="D4" s="62" t="str">
        <f t="shared" ref="D4:D10" si="1">MID(A4,2,1)</f>
        <v>G</v>
      </c>
      <c r="E4" s="64">
        <f t="shared" ref="E4:E10" si="2">IF(D4="K",0.25,IF(D4="G",0.08,0.18))</f>
        <v>0.08</v>
      </c>
      <c r="F4" s="62">
        <f t="shared" si="0"/>
        <v>5</v>
      </c>
      <c r="G4" s="63">
        <f t="shared" ref="G4:G10" si="3">IF(OR(F4=2,F4=6),C4*0.88,C4)</f>
        <v>0.75</v>
      </c>
      <c r="H4" s="65">
        <v>41348</v>
      </c>
      <c r="I4" s="63">
        <f t="shared" ref="I4:I10" si="4">CEILING(G4*(1+E4),0.05)</f>
        <v>0.85000000000000009</v>
      </c>
      <c r="J4" s="66"/>
      <c r="K4" s="33">
        <v>1.18</v>
      </c>
    </row>
    <row r="5" spans="1:11" x14ac:dyDescent="0.25">
      <c r="A5" s="62" t="s">
        <v>315</v>
      </c>
      <c r="B5" s="62" t="s">
        <v>316</v>
      </c>
      <c r="C5" s="63">
        <v>12.5</v>
      </c>
      <c r="D5" s="62" t="str">
        <f t="shared" si="1"/>
        <v>T</v>
      </c>
      <c r="E5" s="64">
        <f t="shared" si="2"/>
        <v>0.18</v>
      </c>
      <c r="F5" s="62">
        <f t="shared" si="0"/>
        <v>6</v>
      </c>
      <c r="G5" s="63">
        <f t="shared" si="3"/>
        <v>11</v>
      </c>
      <c r="H5" s="65">
        <v>41349</v>
      </c>
      <c r="I5" s="63">
        <f t="shared" si="4"/>
        <v>13</v>
      </c>
    </row>
    <row r="6" spans="1:11" x14ac:dyDescent="0.25">
      <c r="A6" s="62" t="s">
        <v>317</v>
      </c>
      <c r="B6" s="62" t="s">
        <v>318</v>
      </c>
      <c r="C6" s="63">
        <v>3.5</v>
      </c>
      <c r="D6" s="62" t="str">
        <f t="shared" si="1"/>
        <v>K</v>
      </c>
      <c r="E6" s="64">
        <f t="shared" si="2"/>
        <v>0.25</v>
      </c>
      <c r="F6" s="62">
        <f t="shared" si="0"/>
        <v>2</v>
      </c>
      <c r="G6" s="63">
        <f t="shared" si="3"/>
        <v>3.08</v>
      </c>
      <c r="H6" s="65">
        <v>41352</v>
      </c>
      <c r="I6" s="63">
        <f t="shared" si="4"/>
        <v>3.85</v>
      </c>
    </row>
    <row r="7" spans="1:11" x14ac:dyDescent="0.25">
      <c r="A7" s="62" t="s">
        <v>319</v>
      </c>
      <c r="B7" s="62" t="s">
        <v>320</v>
      </c>
      <c r="C7" s="63">
        <v>0.9</v>
      </c>
      <c r="D7" s="62" t="str">
        <f t="shared" si="1"/>
        <v>G</v>
      </c>
      <c r="E7" s="64">
        <f t="shared" si="2"/>
        <v>0.08</v>
      </c>
      <c r="F7" s="62">
        <f t="shared" si="0"/>
        <v>3</v>
      </c>
      <c r="G7" s="63">
        <f t="shared" si="3"/>
        <v>0.9</v>
      </c>
      <c r="H7" s="65">
        <v>41353</v>
      </c>
      <c r="I7" s="63">
        <f t="shared" si="4"/>
        <v>1</v>
      </c>
    </row>
    <row r="8" spans="1:11" x14ac:dyDescent="0.25">
      <c r="A8" s="62" t="s">
        <v>321</v>
      </c>
      <c r="B8" s="62" t="s">
        <v>322</v>
      </c>
      <c r="C8" s="63">
        <v>1.75</v>
      </c>
      <c r="D8" s="62" t="str">
        <f t="shared" si="1"/>
        <v>T</v>
      </c>
      <c r="E8" s="64">
        <f t="shared" si="2"/>
        <v>0.18</v>
      </c>
      <c r="F8" s="62">
        <f t="shared" si="0"/>
        <v>6</v>
      </c>
      <c r="G8" s="63">
        <f t="shared" si="3"/>
        <v>1.54</v>
      </c>
      <c r="H8" s="65">
        <v>41356</v>
      </c>
      <c r="I8" s="63">
        <f t="shared" si="4"/>
        <v>1.85</v>
      </c>
    </row>
    <row r="9" spans="1:11" x14ac:dyDescent="0.25">
      <c r="A9" s="62" t="s">
        <v>323</v>
      </c>
      <c r="B9" s="62" t="s">
        <v>324</v>
      </c>
      <c r="C9" s="63">
        <v>1</v>
      </c>
      <c r="D9" s="62" t="str">
        <f t="shared" si="1"/>
        <v>K</v>
      </c>
      <c r="E9" s="64">
        <f t="shared" si="2"/>
        <v>0.25</v>
      </c>
      <c r="F9" s="62">
        <f t="shared" si="0"/>
        <v>2</v>
      </c>
      <c r="G9" s="63">
        <f t="shared" si="3"/>
        <v>0.88</v>
      </c>
      <c r="H9" s="65">
        <v>41359</v>
      </c>
      <c r="I9" s="63">
        <f t="shared" si="4"/>
        <v>1.1000000000000001</v>
      </c>
    </row>
    <row r="10" spans="1:11" x14ac:dyDescent="0.25">
      <c r="A10" s="62" t="s">
        <v>325</v>
      </c>
      <c r="B10" s="62" t="s">
        <v>326</v>
      </c>
      <c r="C10" s="63">
        <v>2.5</v>
      </c>
      <c r="D10" s="62" t="str">
        <f t="shared" si="1"/>
        <v>K</v>
      </c>
      <c r="E10" s="64">
        <f t="shared" si="2"/>
        <v>0.25</v>
      </c>
      <c r="F10" s="62">
        <f t="shared" si="0"/>
        <v>6</v>
      </c>
      <c r="G10" s="63">
        <f t="shared" si="3"/>
        <v>2.2000000000000002</v>
      </c>
      <c r="H10" s="65">
        <v>41370</v>
      </c>
      <c r="I10" s="63">
        <f t="shared" si="4"/>
        <v>2.75</v>
      </c>
    </row>
    <row r="12" spans="1:11" x14ac:dyDescent="0.25">
      <c r="A12" s="67" t="s">
        <v>327</v>
      </c>
      <c r="F12" s="68"/>
      <c r="G12" s="69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205" zoomScaleNormal="205" workbookViewId="0">
      <selection activeCell="B4" sqref="B4"/>
    </sheetView>
  </sheetViews>
  <sheetFormatPr defaultRowHeight="15" x14ac:dyDescent="0.25"/>
  <cols>
    <col min="1" max="16384" width="9.140625" style="33"/>
  </cols>
  <sheetData>
    <row r="1" spans="1:10" ht="22.5" customHeight="1" x14ac:dyDescent="0.25">
      <c r="A1" s="61" t="s">
        <v>303</v>
      </c>
      <c r="B1" s="61" t="s">
        <v>144</v>
      </c>
      <c r="C1" s="61" t="s">
        <v>304</v>
      </c>
      <c r="D1" s="61" t="s">
        <v>305</v>
      </c>
      <c r="E1" s="61" t="s">
        <v>306</v>
      </c>
      <c r="F1" s="61" t="s">
        <v>328</v>
      </c>
      <c r="G1" s="61" t="s">
        <v>216</v>
      </c>
      <c r="H1" s="61" t="s">
        <v>308</v>
      </c>
      <c r="I1" s="61" t="s">
        <v>309</v>
      </c>
    </row>
    <row r="2" spans="1:10" x14ac:dyDescent="0.25">
      <c r="A2" s="61"/>
      <c r="B2" s="61"/>
      <c r="C2" s="61"/>
      <c r="D2" s="61"/>
      <c r="E2" s="61"/>
      <c r="F2" s="61"/>
      <c r="G2" s="61"/>
      <c r="H2" s="61"/>
      <c r="I2" s="61"/>
    </row>
    <row r="3" spans="1:10" x14ac:dyDescent="0.25">
      <c r="A3" s="62" t="s">
        <v>310</v>
      </c>
      <c r="B3" s="62" t="s">
        <v>311</v>
      </c>
      <c r="C3" s="63">
        <v>1.5</v>
      </c>
      <c r="D3" s="62" t="s">
        <v>312</v>
      </c>
      <c r="E3" s="64">
        <f>IF(D3="K",0.25,IF(D3="G",0.08,0.18))</f>
        <v>0.25</v>
      </c>
      <c r="F3" s="62">
        <f>DAY(H3)</f>
        <v>13</v>
      </c>
      <c r="G3" s="63">
        <f>IF(OR(F3=5,F3=6,F3=15,F3=16,F3=25,F3=26),C3*0.88,C3)</f>
        <v>1.5</v>
      </c>
      <c r="H3" s="65">
        <v>41346</v>
      </c>
      <c r="I3" s="63">
        <f>CEILING(G3*(1+E3),0.05)</f>
        <v>1.9000000000000001</v>
      </c>
      <c r="J3" s="33">
        <v>100</v>
      </c>
    </row>
    <row r="4" spans="1:10" x14ac:dyDescent="0.25">
      <c r="A4" s="62" t="s">
        <v>313</v>
      </c>
      <c r="B4" s="62" t="s">
        <v>314</v>
      </c>
      <c r="C4" s="63">
        <v>0.75</v>
      </c>
      <c r="D4" s="62" t="str">
        <f t="shared" ref="D4:D10" si="0">MID(A4,2,1)</f>
        <v>G</v>
      </c>
      <c r="E4" s="64">
        <f t="shared" ref="E4:E10" si="1">IF(D4="K",0.25,IF(D4="G",0.08,0.18))</f>
        <v>0.08</v>
      </c>
      <c r="F4" s="62">
        <f t="shared" ref="F4:F10" si="2">DAY(H4)</f>
        <v>15</v>
      </c>
      <c r="G4" s="63">
        <f t="shared" ref="G4:G10" si="3">IF(OR(F4=5,F4=6,F4=15,F4=16,F4=25,F4=26),C4*0.88,C4)</f>
        <v>0.66</v>
      </c>
      <c r="H4" s="65">
        <v>41348</v>
      </c>
      <c r="I4" s="63">
        <f t="shared" ref="I4:I10" si="4">CEILING(G4*(1+E4),0.05)</f>
        <v>0.75</v>
      </c>
      <c r="J4" s="66">
        <v>0.18</v>
      </c>
    </row>
    <row r="5" spans="1:10" x14ac:dyDescent="0.25">
      <c r="A5" s="62" t="s">
        <v>315</v>
      </c>
      <c r="B5" s="62" t="s">
        <v>316</v>
      </c>
      <c r="C5" s="63">
        <v>12.5</v>
      </c>
      <c r="D5" s="62" t="str">
        <f t="shared" si="0"/>
        <v>T</v>
      </c>
      <c r="E5" s="64">
        <f t="shared" si="1"/>
        <v>0.18</v>
      </c>
      <c r="F5" s="62">
        <f t="shared" si="2"/>
        <v>16</v>
      </c>
      <c r="G5" s="63">
        <f t="shared" si="3"/>
        <v>11</v>
      </c>
      <c r="H5" s="65">
        <v>41349</v>
      </c>
      <c r="I5" s="63">
        <f t="shared" si="4"/>
        <v>13</v>
      </c>
      <c r="J5" s="33" t="s">
        <v>329</v>
      </c>
    </row>
    <row r="6" spans="1:10" x14ac:dyDescent="0.25">
      <c r="A6" s="62" t="s">
        <v>317</v>
      </c>
      <c r="B6" s="62" t="s">
        <v>318</v>
      </c>
      <c r="C6" s="63">
        <v>3.5</v>
      </c>
      <c r="D6" s="62" t="str">
        <f t="shared" si="0"/>
        <v>K</v>
      </c>
      <c r="E6" s="64">
        <f t="shared" si="1"/>
        <v>0.25</v>
      </c>
      <c r="F6" s="62">
        <f t="shared" si="2"/>
        <v>19</v>
      </c>
      <c r="G6" s="63">
        <f t="shared" si="3"/>
        <v>3.5</v>
      </c>
      <c r="H6" s="65">
        <v>41352</v>
      </c>
      <c r="I6" s="63">
        <f t="shared" si="4"/>
        <v>4.4000000000000004</v>
      </c>
    </row>
    <row r="7" spans="1:10" x14ac:dyDescent="0.25">
      <c r="A7" s="62" t="s">
        <v>319</v>
      </c>
      <c r="B7" s="62" t="s">
        <v>320</v>
      </c>
      <c r="C7" s="63">
        <v>0.9</v>
      </c>
      <c r="D7" s="62" t="str">
        <f t="shared" si="0"/>
        <v>G</v>
      </c>
      <c r="E7" s="64">
        <f t="shared" si="1"/>
        <v>0.08</v>
      </c>
      <c r="F7" s="62">
        <f t="shared" si="2"/>
        <v>20</v>
      </c>
      <c r="G7" s="63">
        <f t="shared" si="3"/>
        <v>0.9</v>
      </c>
      <c r="H7" s="65">
        <v>41353</v>
      </c>
      <c r="I7" s="63">
        <f t="shared" si="4"/>
        <v>1</v>
      </c>
    </row>
    <row r="8" spans="1:10" x14ac:dyDescent="0.25">
      <c r="A8" s="62" t="s">
        <v>321</v>
      </c>
      <c r="B8" s="62" t="s">
        <v>322</v>
      </c>
      <c r="C8" s="63">
        <v>1.75</v>
      </c>
      <c r="D8" s="62" t="str">
        <f t="shared" si="0"/>
        <v>T</v>
      </c>
      <c r="E8" s="64">
        <f t="shared" si="1"/>
        <v>0.18</v>
      </c>
      <c r="F8" s="62">
        <f t="shared" si="2"/>
        <v>23</v>
      </c>
      <c r="G8" s="63">
        <f t="shared" si="3"/>
        <v>1.75</v>
      </c>
      <c r="H8" s="65">
        <v>41356</v>
      </c>
      <c r="I8" s="63">
        <f t="shared" si="4"/>
        <v>2.1</v>
      </c>
    </row>
    <row r="9" spans="1:10" x14ac:dyDescent="0.25">
      <c r="A9" s="62" t="s">
        <v>323</v>
      </c>
      <c r="B9" s="62" t="s">
        <v>324</v>
      </c>
      <c r="C9" s="63">
        <v>1</v>
      </c>
      <c r="D9" s="62" t="str">
        <f t="shared" si="0"/>
        <v>K</v>
      </c>
      <c r="E9" s="64">
        <f t="shared" si="1"/>
        <v>0.25</v>
      </c>
      <c r="F9" s="62">
        <f t="shared" si="2"/>
        <v>26</v>
      </c>
      <c r="G9" s="63">
        <f t="shared" si="3"/>
        <v>0.88</v>
      </c>
      <c r="H9" s="65">
        <v>41359</v>
      </c>
      <c r="I9" s="63">
        <f t="shared" si="4"/>
        <v>1.1000000000000001</v>
      </c>
    </row>
    <row r="10" spans="1:10" x14ac:dyDescent="0.25">
      <c r="A10" s="62" t="s">
        <v>325</v>
      </c>
      <c r="B10" s="62" t="s">
        <v>326</v>
      </c>
      <c r="C10" s="63">
        <v>2.5</v>
      </c>
      <c r="D10" s="62" t="str">
        <f t="shared" si="0"/>
        <v>K</v>
      </c>
      <c r="E10" s="64">
        <f t="shared" si="1"/>
        <v>0.25</v>
      </c>
      <c r="F10" s="62">
        <f t="shared" si="2"/>
        <v>6</v>
      </c>
      <c r="G10" s="63">
        <f t="shared" si="3"/>
        <v>2.2000000000000002</v>
      </c>
      <c r="H10" s="65">
        <v>41370</v>
      </c>
      <c r="I10" s="63">
        <f t="shared" si="4"/>
        <v>2.75</v>
      </c>
    </row>
    <row r="12" spans="1:10" x14ac:dyDescent="0.25">
      <c r="A12" s="67" t="s">
        <v>327</v>
      </c>
      <c r="F12" s="68"/>
      <c r="G12" s="69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205" zoomScaleNormal="205" workbookViewId="0">
      <selection activeCell="I1" sqref="I1"/>
    </sheetView>
  </sheetViews>
  <sheetFormatPr defaultRowHeight="12.75" x14ac:dyDescent="0.2"/>
  <cols>
    <col min="1" max="3" width="8" customWidth="1"/>
    <col min="5" max="5" width="7" bestFit="1" customWidth="1"/>
    <col min="6" max="6" width="12.42578125" customWidth="1"/>
    <col min="7" max="7" width="10.85546875" customWidth="1"/>
    <col min="8" max="9" width="11.5703125" bestFit="1" customWidth="1"/>
  </cols>
  <sheetData>
    <row r="1" spans="1:9" x14ac:dyDescent="0.2">
      <c r="A1">
        <v>1</v>
      </c>
      <c r="B1">
        <v>1</v>
      </c>
      <c r="C1">
        <v>2</v>
      </c>
      <c r="D1" t="s">
        <v>132</v>
      </c>
      <c r="E1" t="s">
        <v>133</v>
      </c>
      <c r="F1" t="s">
        <v>134</v>
      </c>
      <c r="G1" t="s">
        <v>49</v>
      </c>
      <c r="H1" t="s">
        <v>135</v>
      </c>
      <c r="I1" t="s">
        <v>137</v>
      </c>
    </row>
    <row r="2" spans="1:9" x14ac:dyDescent="0.2">
      <c r="A2">
        <v>1</v>
      </c>
      <c r="B2">
        <v>2</v>
      </c>
      <c r="C2">
        <v>4</v>
      </c>
      <c r="D2" t="s">
        <v>132</v>
      </c>
      <c r="E2" t="s">
        <v>136</v>
      </c>
      <c r="F2" t="s">
        <v>157</v>
      </c>
      <c r="G2" t="s">
        <v>50</v>
      </c>
      <c r="H2" t="s">
        <v>137</v>
      </c>
      <c r="I2" t="s">
        <v>139</v>
      </c>
    </row>
    <row r="3" spans="1:9" x14ac:dyDescent="0.2">
      <c r="A3">
        <v>1</v>
      </c>
      <c r="B3">
        <v>3</v>
      </c>
      <c r="C3">
        <v>5</v>
      </c>
      <c r="D3" t="s">
        <v>132</v>
      </c>
      <c r="E3" t="s">
        <v>138</v>
      </c>
      <c r="F3" t="s">
        <v>158</v>
      </c>
      <c r="G3" t="s">
        <v>146</v>
      </c>
      <c r="H3" t="s">
        <v>139</v>
      </c>
      <c r="I3" t="s">
        <v>140</v>
      </c>
    </row>
    <row r="4" spans="1:9" x14ac:dyDescent="0.2">
      <c r="A4">
        <v>1</v>
      </c>
      <c r="B4">
        <v>4</v>
      </c>
      <c r="C4">
        <v>6.6666666666666696</v>
      </c>
      <c r="D4" t="s">
        <v>132</v>
      </c>
      <c r="E4" t="s">
        <v>133</v>
      </c>
      <c r="F4" t="s">
        <v>159</v>
      </c>
      <c r="G4" t="s">
        <v>147</v>
      </c>
      <c r="H4" t="s">
        <v>140</v>
      </c>
      <c r="I4" t="s">
        <v>141</v>
      </c>
    </row>
    <row r="5" spans="1:9" x14ac:dyDescent="0.2">
      <c r="A5">
        <v>1</v>
      </c>
      <c r="B5">
        <v>5</v>
      </c>
      <c r="C5">
        <v>8.1666666666666696</v>
      </c>
      <c r="D5" t="s">
        <v>132</v>
      </c>
      <c r="E5" t="s">
        <v>136</v>
      </c>
      <c r="F5" t="s">
        <v>160</v>
      </c>
      <c r="G5" t="s">
        <v>148</v>
      </c>
      <c r="H5" t="s">
        <v>141</v>
      </c>
      <c r="I5" t="s">
        <v>135</v>
      </c>
    </row>
    <row r="6" spans="1:9" x14ac:dyDescent="0.2">
      <c r="A6">
        <v>1</v>
      </c>
      <c r="B6">
        <v>6</v>
      </c>
      <c r="C6">
        <v>9.6666666666666696</v>
      </c>
      <c r="D6" t="s">
        <v>132</v>
      </c>
      <c r="E6" t="s">
        <v>138</v>
      </c>
      <c r="F6" t="s">
        <v>161</v>
      </c>
      <c r="G6" t="s">
        <v>163</v>
      </c>
      <c r="I6" t="s">
        <v>137</v>
      </c>
    </row>
    <row r="7" spans="1:9" x14ac:dyDescent="0.2">
      <c r="A7">
        <v>1</v>
      </c>
      <c r="B7">
        <v>7</v>
      </c>
      <c r="C7">
        <v>11.1666666666667</v>
      </c>
      <c r="D7" t="s">
        <v>132</v>
      </c>
      <c r="E7" t="s">
        <v>133</v>
      </c>
      <c r="F7" t="s">
        <v>162</v>
      </c>
      <c r="G7" t="s">
        <v>164</v>
      </c>
      <c r="I7" t="s">
        <v>139</v>
      </c>
    </row>
    <row r="8" spans="1:9" x14ac:dyDescent="0.2">
      <c r="A8">
        <v>1</v>
      </c>
      <c r="B8">
        <v>8</v>
      </c>
      <c r="C8">
        <v>12.6666666666667</v>
      </c>
      <c r="D8" t="s">
        <v>132</v>
      </c>
      <c r="E8" t="s">
        <v>136</v>
      </c>
      <c r="F8" t="s">
        <v>134</v>
      </c>
      <c r="G8" t="s">
        <v>165</v>
      </c>
      <c r="I8" t="s">
        <v>140</v>
      </c>
    </row>
    <row r="9" spans="1:9" x14ac:dyDescent="0.2">
      <c r="A9">
        <v>1</v>
      </c>
      <c r="B9">
        <v>9</v>
      </c>
      <c r="C9">
        <v>14.1666666666667</v>
      </c>
      <c r="D9" t="s">
        <v>132</v>
      </c>
      <c r="E9" t="s">
        <v>138</v>
      </c>
      <c r="F9" t="s">
        <v>157</v>
      </c>
      <c r="G9" t="s">
        <v>166</v>
      </c>
      <c r="I9" t="s">
        <v>141</v>
      </c>
    </row>
    <row r="10" spans="1:9" x14ac:dyDescent="0.2">
      <c r="A10">
        <v>1</v>
      </c>
      <c r="B10">
        <v>10</v>
      </c>
      <c r="C10">
        <v>15.6666666666667</v>
      </c>
      <c r="D10" t="s">
        <v>132</v>
      </c>
      <c r="E10" t="s">
        <v>133</v>
      </c>
      <c r="F10" t="s">
        <v>158</v>
      </c>
      <c r="G10" t="s">
        <v>167</v>
      </c>
      <c r="I10" t="s">
        <v>135</v>
      </c>
    </row>
    <row r="12" spans="1:9" x14ac:dyDescent="0.2">
      <c r="C12" t="s">
        <v>142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D1" zoomScale="250" zoomScaleNormal="250" workbookViewId="0">
      <selection activeCell="B4" sqref="B4"/>
    </sheetView>
  </sheetViews>
  <sheetFormatPr defaultRowHeight="15" x14ac:dyDescent="0.25"/>
  <cols>
    <col min="1" max="9" width="9.140625" style="33"/>
    <col min="10" max="11" width="10.5703125" style="33" bestFit="1" customWidth="1"/>
    <col min="12" max="16384" width="9.140625" style="33"/>
  </cols>
  <sheetData>
    <row r="1" spans="1:11" ht="22.5" customHeight="1" x14ac:dyDescent="0.25">
      <c r="A1" s="61" t="s">
        <v>303</v>
      </c>
      <c r="B1" s="61" t="s">
        <v>144</v>
      </c>
      <c r="C1" s="61" t="s">
        <v>304</v>
      </c>
      <c r="D1" s="61" t="s">
        <v>305</v>
      </c>
      <c r="E1" s="61" t="s">
        <v>306</v>
      </c>
      <c r="F1" s="61" t="s">
        <v>216</v>
      </c>
      <c r="G1" s="61" t="s">
        <v>308</v>
      </c>
      <c r="H1" s="61" t="s">
        <v>309</v>
      </c>
    </row>
    <row r="2" spans="1:11" x14ac:dyDescent="0.25">
      <c r="A2" s="61"/>
      <c r="B2" s="61"/>
      <c r="C2" s="61"/>
      <c r="D2" s="61"/>
      <c r="E2" s="61"/>
      <c r="F2" s="61"/>
      <c r="G2" s="61"/>
      <c r="H2" s="61"/>
      <c r="J2" s="33" t="s">
        <v>296</v>
      </c>
      <c r="K2" s="33" t="s">
        <v>297</v>
      </c>
    </row>
    <row r="3" spans="1:11" x14ac:dyDescent="0.25">
      <c r="A3" s="62" t="s">
        <v>310</v>
      </c>
      <c r="B3" s="62" t="s">
        <v>311</v>
      </c>
      <c r="C3" s="63">
        <v>1.5</v>
      </c>
      <c r="D3" s="62" t="s">
        <v>312</v>
      </c>
      <c r="E3" s="64">
        <f>IF(D3="K",0.25,IF(D3="G",0.08,0.18))</f>
        <v>0.25</v>
      </c>
      <c r="F3" s="63">
        <f t="shared" ref="F3:F10" si="0">IF(AND(G3&gt;=inbaş,G3&lt;=inbit),C3*0.88,C3)</f>
        <v>1.5</v>
      </c>
      <c r="G3" s="65">
        <v>41346</v>
      </c>
      <c r="H3" s="63">
        <f>CEILING(F3*(1+E3),0.05)</f>
        <v>1.9000000000000001</v>
      </c>
      <c r="J3" s="51">
        <v>41353</v>
      </c>
      <c r="K3" s="51">
        <v>41364</v>
      </c>
    </row>
    <row r="4" spans="1:11" x14ac:dyDescent="0.25">
      <c r="A4" s="62" t="s">
        <v>313</v>
      </c>
      <c r="B4" s="62" t="s">
        <v>314</v>
      </c>
      <c r="C4" s="63">
        <v>0.75</v>
      </c>
      <c r="D4" s="62" t="str">
        <f t="shared" ref="D4:D10" si="1">MID(A4,2,1)</f>
        <v>G</v>
      </c>
      <c r="E4" s="64">
        <f t="shared" ref="E4:E10" si="2">IF(D4="K",0.25,IF(D4="G",0.08,0.18))</f>
        <v>0.08</v>
      </c>
      <c r="F4" s="63">
        <f t="shared" si="0"/>
        <v>0.75</v>
      </c>
      <c r="G4" s="65">
        <v>41348</v>
      </c>
      <c r="H4" s="63">
        <f t="shared" ref="H4:H10" si="3">CEILING(F4*(1+E4),0.05)</f>
        <v>0.85000000000000009</v>
      </c>
      <c r="I4" s="66"/>
    </row>
    <row r="5" spans="1:11" x14ac:dyDescent="0.25">
      <c r="A5" s="62" t="s">
        <v>315</v>
      </c>
      <c r="B5" s="62" t="s">
        <v>316</v>
      </c>
      <c r="C5" s="63">
        <v>12.5</v>
      </c>
      <c r="D5" s="62" t="str">
        <f t="shared" si="1"/>
        <v>T</v>
      </c>
      <c r="E5" s="64">
        <f t="shared" si="2"/>
        <v>0.18</v>
      </c>
      <c r="F5" s="63">
        <f t="shared" si="0"/>
        <v>12.5</v>
      </c>
      <c r="G5" s="65">
        <v>41349</v>
      </c>
      <c r="H5" s="63">
        <f t="shared" si="3"/>
        <v>14.75</v>
      </c>
    </row>
    <row r="6" spans="1:11" x14ac:dyDescent="0.25">
      <c r="A6" s="62" t="s">
        <v>317</v>
      </c>
      <c r="B6" s="62" t="s">
        <v>318</v>
      </c>
      <c r="C6" s="63">
        <v>3.5</v>
      </c>
      <c r="D6" s="62" t="str">
        <f t="shared" si="1"/>
        <v>K</v>
      </c>
      <c r="E6" s="64">
        <f t="shared" si="2"/>
        <v>0.25</v>
      </c>
      <c r="F6" s="63">
        <f t="shared" si="0"/>
        <v>3.5</v>
      </c>
      <c r="G6" s="65">
        <v>41352</v>
      </c>
      <c r="H6" s="63">
        <f t="shared" si="3"/>
        <v>4.4000000000000004</v>
      </c>
    </row>
    <row r="7" spans="1:11" x14ac:dyDescent="0.25">
      <c r="A7" s="62" t="s">
        <v>319</v>
      </c>
      <c r="B7" s="62" t="s">
        <v>320</v>
      </c>
      <c r="C7" s="63">
        <v>0.9</v>
      </c>
      <c r="D7" s="62" t="str">
        <f t="shared" si="1"/>
        <v>G</v>
      </c>
      <c r="E7" s="64">
        <f t="shared" si="2"/>
        <v>0.08</v>
      </c>
      <c r="F7" s="63">
        <f t="shared" si="0"/>
        <v>0.79200000000000004</v>
      </c>
      <c r="G7" s="65">
        <v>41353</v>
      </c>
      <c r="H7" s="63">
        <f t="shared" si="3"/>
        <v>0.9</v>
      </c>
    </row>
    <row r="8" spans="1:11" x14ac:dyDescent="0.25">
      <c r="A8" s="62" t="s">
        <v>321</v>
      </c>
      <c r="B8" s="62" t="s">
        <v>322</v>
      </c>
      <c r="C8" s="63">
        <v>1.75</v>
      </c>
      <c r="D8" s="62" t="str">
        <f t="shared" si="1"/>
        <v>T</v>
      </c>
      <c r="E8" s="64">
        <f t="shared" si="2"/>
        <v>0.18</v>
      </c>
      <c r="F8" s="63">
        <f t="shared" si="0"/>
        <v>1.54</v>
      </c>
      <c r="G8" s="65">
        <v>41356</v>
      </c>
      <c r="H8" s="63">
        <f t="shared" si="3"/>
        <v>1.85</v>
      </c>
    </row>
    <row r="9" spans="1:11" x14ac:dyDescent="0.25">
      <c r="A9" s="62" t="s">
        <v>323</v>
      </c>
      <c r="B9" s="62" t="s">
        <v>324</v>
      </c>
      <c r="C9" s="63">
        <v>1</v>
      </c>
      <c r="D9" s="62" t="str">
        <f t="shared" si="1"/>
        <v>K</v>
      </c>
      <c r="E9" s="64">
        <f t="shared" si="2"/>
        <v>0.25</v>
      </c>
      <c r="F9" s="63">
        <f t="shared" si="0"/>
        <v>0.88</v>
      </c>
      <c r="G9" s="65">
        <v>41359</v>
      </c>
      <c r="H9" s="63">
        <f t="shared" si="3"/>
        <v>1.1000000000000001</v>
      </c>
    </row>
    <row r="10" spans="1:11" x14ac:dyDescent="0.25">
      <c r="A10" s="62" t="s">
        <v>325</v>
      </c>
      <c r="B10" s="62" t="s">
        <v>326</v>
      </c>
      <c r="C10" s="63">
        <v>2.5</v>
      </c>
      <c r="D10" s="62" t="str">
        <f t="shared" si="1"/>
        <v>K</v>
      </c>
      <c r="E10" s="64">
        <f t="shared" si="2"/>
        <v>0.25</v>
      </c>
      <c r="F10" s="63">
        <f t="shared" si="0"/>
        <v>2.5</v>
      </c>
      <c r="G10" s="65">
        <v>41370</v>
      </c>
      <c r="H10" s="63">
        <f t="shared" si="3"/>
        <v>3.1500000000000004</v>
      </c>
    </row>
    <row r="12" spans="1:11" x14ac:dyDescent="0.25">
      <c r="A12" s="67" t="s">
        <v>327</v>
      </c>
      <c r="F12" s="69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220" zoomScaleNormal="220" workbookViewId="0">
      <selection activeCell="B4" sqref="B4"/>
    </sheetView>
  </sheetViews>
  <sheetFormatPr defaultRowHeight="15" x14ac:dyDescent="0.25"/>
  <cols>
    <col min="1" max="16384" width="9.140625" style="33"/>
  </cols>
  <sheetData>
    <row r="1" spans="1:3" x14ac:dyDescent="0.25">
      <c r="B1" s="33" t="s">
        <v>330</v>
      </c>
      <c r="C1" s="33" t="s">
        <v>331</v>
      </c>
    </row>
    <row r="2" spans="1:3" x14ac:dyDescent="0.25">
      <c r="A2" s="33" t="s">
        <v>332</v>
      </c>
      <c r="B2" s="33">
        <v>2.12</v>
      </c>
      <c r="C2" s="33">
        <v>2.13</v>
      </c>
    </row>
    <row r="3" spans="1:3" x14ac:dyDescent="0.25">
      <c r="A3" s="33" t="s">
        <v>333</v>
      </c>
      <c r="B3" s="33">
        <v>2.84</v>
      </c>
      <c r="C3" s="33">
        <v>2.85</v>
      </c>
    </row>
    <row r="4" spans="1:3" x14ac:dyDescent="0.25">
      <c r="A4" s="33" t="s">
        <v>334</v>
      </c>
      <c r="B4" s="33">
        <v>3.58</v>
      </c>
      <c r="C4" s="33">
        <v>3.59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265" zoomScaleNormal="265" workbookViewId="0">
      <selection activeCell="B4" sqref="B4"/>
    </sheetView>
  </sheetViews>
  <sheetFormatPr defaultRowHeight="15" x14ac:dyDescent="0.25"/>
  <cols>
    <col min="1" max="1" width="10.28515625" style="33" bestFit="1" customWidth="1"/>
    <col min="2" max="2" width="12.42578125" style="33" bestFit="1" customWidth="1"/>
    <col min="3" max="3" width="12.28515625" style="33" bestFit="1" customWidth="1"/>
    <col min="4" max="16384" width="9.140625" style="33"/>
  </cols>
  <sheetData>
    <row r="1" spans="1:3" x14ac:dyDescent="0.25">
      <c r="A1" s="33" t="s">
        <v>335</v>
      </c>
      <c r="B1" s="33" t="s">
        <v>336</v>
      </c>
      <c r="C1" s="33" t="s">
        <v>337</v>
      </c>
    </row>
    <row r="2" spans="1:3" x14ac:dyDescent="0.25">
      <c r="A2" s="33" t="s">
        <v>333</v>
      </c>
      <c r="B2" s="33">
        <v>1800</v>
      </c>
      <c r="C2" s="41">
        <f>IF(A2="Euro",B2*EA,IF(A2="Dolar",B2*DA,B2*SA))</f>
        <v>5112</v>
      </c>
    </row>
    <row r="3" spans="1:3" x14ac:dyDescent="0.25">
      <c r="A3" s="33" t="s">
        <v>332</v>
      </c>
      <c r="B3" s="33">
        <v>150</v>
      </c>
      <c r="C3" s="41">
        <f>IF(A3="Euro",B3*EA,IF(A3="Dolar",B3*DA,B3*SA))</f>
        <v>318</v>
      </c>
    </row>
    <row r="4" spans="1:3" x14ac:dyDescent="0.25">
      <c r="A4" s="33" t="s">
        <v>333</v>
      </c>
      <c r="B4" s="33">
        <v>96</v>
      </c>
      <c r="C4" s="41">
        <f>IF(A4="Euro",B4*EA,IF(A4="Dolar",B4*DA,B4*SA))</f>
        <v>272.64</v>
      </c>
    </row>
    <row r="5" spans="1:3" x14ac:dyDescent="0.25">
      <c r="A5" s="33" t="s">
        <v>334</v>
      </c>
      <c r="B5" s="33">
        <v>1050</v>
      </c>
      <c r="C5" s="41">
        <f>IF(A5="Euro",B5*EA,IF(A5="Dolar",B5*DA,B5*SA))</f>
        <v>3759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250" zoomScaleNormal="250" workbookViewId="0">
      <selection activeCell="B4" sqref="B4"/>
    </sheetView>
  </sheetViews>
  <sheetFormatPr defaultRowHeight="15" x14ac:dyDescent="0.25"/>
  <cols>
    <col min="1" max="1" width="11.42578125" style="33" customWidth="1"/>
    <col min="2" max="2" width="10.5703125" style="33" bestFit="1" customWidth="1"/>
    <col min="3" max="3" width="12.42578125" style="33" bestFit="1" customWidth="1"/>
    <col min="4" max="16384" width="9.140625" style="33"/>
  </cols>
  <sheetData>
    <row r="1" spans="1:7" x14ac:dyDescent="0.25">
      <c r="A1" s="33" t="s">
        <v>338</v>
      </c>
      <c r="B1" s="33" t="s">
        <v>339</v>
      </c>
      <c r="C1" s="33" t="s">
        <v>336</v>
      </c>
      <c r="D1" s="33" t="s">
        <v>340</v>
      </c>
    </row>
    <row r="2" spans="1:7" x14ac:dyDescent="0.25">
      <c r="A2" s="33">
        <v>1500</v>
      </c>
      <c r="B2" s="33" t="s">
        <v>333</v>
      </c>
      <c r="C2" s="33">
        <f>INT(IF(B2="Euro",A2/ES,IF(B2="Dolar",A2/DS,A2/SS)))</f>
        <v>526</v>
      </c>
      <c r="D2" s="41">
        <f>IF(B2="Euro",A2-C2*ES,IF(B2="Dolar",A2-C2*DS,A2-C2*SS))</f>
        <v>0.89999999999986358</v>
      </c>
      <c r="F2" s="70">
        <f>ROUND(45.568,0)</f>
        <v>46</v>
      </c>
      <c r="G2" s="33">
        <f>F2*2</f>
        <v>92</v>
      </c>
    </row>
    <row r="3" spans="1:7" x14ac:dyDescent="0.25">
      <c r="A3" s="33">
        <v>2250</v>
      </c>
      <c r="B3" s="33" t="s">
        <v>334</v>
      </c>
      <c r="C3" s="33">
        <f>INT(IF(B3="Euro",A3/ES,IF(B3="Dolar",A3/DS,A3/SS)))</f>
        <v>626</v>
      </c>
      <c r="D3" s="41">
        <f>IF(B3="Euro",A3-C3*ES,IF(B3="Dolar",A3-C3*DS,A3-C3*SS))</f>
        <v>2.6600000000003092</v>
      </c>
    </row>
    <row r="4" spans="1:7" x14ac:dyDescent="0.25">
      <c r="A4" s="33">
        <v>3500</v>
      </c>
      <c r="B4" s="33" t="s">
        <v>332</v>
      </c>
      <c r="C4" s="33">
        <f>INT(IF(B4="Euro",A4/ES,IF(B4="Dolar",A4/DS,A4/SS)))</f>
        <v>1643</v>
      </c>
      <c r="D4" s="41">
        <f>IF(B4="Euro",A4-C4*ES,IF(B4="Dolar",A4-C4*DS,A4-C4*SS))</f>
        <v>0.41000000000030923</v>
      </c>
      <c r="F4" s="33">
        <v>1500</v>
      </c>
    </row>
    <row r="5" spans="1:7" x14ac:dyDescent="0.25">
      <c r="A5" s="33">
        <v>750</v>
      </c>
      <c r="B5" s="33" t="s">
        <v>333</v>
      </c>
      <c r="C5" s="33">
        <f>INT(IF(B5="Euro",A5/ES,IF(B5="Dolar",A5/DS,A5/SS)))</f>
        <v>263</v>
      </c>
      <c r="D5" s="41">
        <f>IF(B5="Euro",A5-C5*ES,IF(B5="Dolar",A5-C5*DS,A5-C5*SS))</f>
        <v>0.44999999999993179</v>
      </c>
      <c r="F5" s="33">
        <f>1500/2.85</f>
        <v>526.31578947368416</v>
      </c>
    </row>
    <row r="6" spans="1:7" x14ac:dyDescent="0.25">
      <c r="F6" s="33">
        <v>526</v>
      </c>
    </row>
    <row r="7" spans="1:7" x14ac:dyDescent="0.25">
      <c r="A7" s="33" t="s">
        <v>341</v>
      </c>
      <c r="F7" s="33">
        <f>1500-F5*ES</f>
        <v>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250" zoomScaleNormal="250" workbookViewId="0">
      <selection activeCell="B4" sqref="B4"/>
    </sheetView>
  </sheetViews>
  <sheetFormatPr defaultRowHeight="15" x14ac:dyDescent="0.25"/>
  <cols>
    <col min="1" max="1" width="11.42578125" style="33" customWidth="1"/>
    <col min="2" max="2" width="10.5703125" style="33" bestFit="1" customWidth="1"/>
    <col min="3" max="3" width="12.42578125" style="33" bestFit="1" customWidth="1"/>
    <col min="4" max="16384" width="9.140625" style="33"/>
  </cols>
  <sheetData>
    <row r="1" spans="1:7" x14ac:dyDescent="0.25">
      <c r="A1" s="33" t="s">
        <v>338</v>
      </c>
      <c r="B1" s="33" t="s">
        <v>339</v>
      </c>
      <c r="C1" s="33" t="s">
        <v>336</v>
      </c>
      <c r="D1" s="33" t="s">
        <v>340</v>
      </c>
    </row>
    <row r="2" spans="1:7" x14ac:dyDescent="0.25">
      <c r="A2" s="33">
        <v>1500</v>
      </c>
      <c r="B2" s="33" t="s">
        <v>333</v>
      </c>
      <c r="C2" s="33">
        <f>IF(B2="Euro",FLOOR(A2/ES,5),IF(B2="Dolar",FLOOR(A2/DS,10),FLOOR(A2/SS,20)))</f>
        <v>525</v>
      </c>
      <c r="D2" s="41">
        <f>IF(B2="Euro",A2-C2*ES,IF(B2="Dolar",A2-C2*DS,A2-C2*SS))</f>
        <v>3.75</v>
      </c>
      <c r="F2" s="71">
        <v>530</v>
      </c>
      <c r="G2" s="33" t="s">
        <v>342</v>
      </c>
    </row>
    <row r="3" spans="1:7" x14ac:dyDescent="0.25">
      <c r="A3" s="33">
        <v>2250</v>
      </c>
      <c r="B3" s="33" t="s">
        <v>334</v>
      </c>
      <c r="C3" s="33">
        <f>IF(B3="Euro",FLOOR(A3/ES,5),IF(B3="Dolar",FLOOR(A3/DS,10),FLOOR(A3/SS,20)))</f>
        <v>620</v>
      </c>
      <c r="D3" s="41">
        <f>IF(B3="Euro",A3-C3*ES,IF(B3="Dolar",A3-C3*DS,A3-C3*SS))</f>
        <v>24.200000000000273</v>
      </c>
      <c r="F3" s="33">
        <v>640</v>
      </c>
      <c r="G3" s="33" t="s">
        <v>343</v>
      </c>
    </row>
    <row r="4" spans="1:7" x14ac:dyDescent="0.25">
      <c r="A4" s="33">
        <v>3500</v>
      </c>
      <c r="B4" s="33" t="s">
        <v>332</v>
      </c>
      <c r="C4" s="33">
        <f>IF(B4="Euro",FLOOR(A4/ES,5),IF(B4="Dolar",FLOOR(A4/DS,10),FLOOR(A4/SS,20)))</f>
        <v>1640</v>
      </c>
      <c r="D4" s="41">
        <f>IF(B4="Euro",A4-C4*ES,IF(B4="Dolar",A4-C4*DS,A4-C4*SS))</f>
        <v>6.8000000000001819</v>
      </c>
      <c r="F4" s="33">
        <v>1650</v>
      </c>
      <c r="G4" s="33" t="s">
        <v>344</v>
      </c>
    </row>
    <row r="5" spans="1:7" x14ac:dyDescent="0.25">
      <c r="A5" s="33">
        <v>750</v>
      </c>
      <c r="B5" s="33" t="s">
        <v>333</v>
      </c>
      <c r="C5" s="33">
        <f>IF(B5="Euro",FLOOR(A5/ES,5),IF(B5="Dolar",FLOOR(A5/DS,10),FLOOR(A5/SS,20)))</f>
        <v>260</v>
      </c>
      <c r="D5" s="41">
        <f>IF(B5="Euro",A5-C5*ES,IF(B5="Dolar",A5-C5*DS,A5-C5*SS))</f>
        <v>9</v>
      </c>
      <c r="F5" s="33">
        <v>265</v>
      </c>
      <c r="G5" s="33" t="s">
        <v>345</v>
      </c>
    </row>
    <row r="8" spans="1:7" x14ac:dyDescent="0.25">
      <c r="A8" s="33" t="s">
        <v>346</v>
      </c>
    </row>
    <row r="9" spans="1:7" x14ac:dyDescent="0.25">
      <c r="A9" s="33" t="s">
        <v>347</v>
      </c>
      <c r="D9" s="33" t="s">
        <v>348</v>
      </c>
    </row>
    <row r="10" spans="1:7" x14ac:dyDescent="0.25">
      <c r="D10" s="33" t="s">
        <v>349</v>
      </c>
    </row>
    <row r="11" spans="1:7" x14ac:dyDescent="0.25">
      <c r="D11" s="33" t="s">
        <v>350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250" zoomScaleNormal="250" workbookViewId="0">
      <selection activeCell="B4" sqref="B4"/>
    </sheetView>
  </sheetViews>
  <sheetFormatPr defaultRowHeight="15" x14ac:dyDescent="0.25"/>
  <cols>
    <col min="1" max="1" width="11.42578125" style="33" customWidth="1"/>
    <col min="2" max="2" width="10.5703125" style="33" bestFit="1" customWidth="1"/>
    <col min="3" max="3" width="12.42578125" style="33" bestFit="1" customWidth="1"/>
    <col min="4" max="16384" width="9.140625" style="33"/>
  </cols>
  <sheetData>
    <row r="1" spans="1:7" x14ac:dyDescent="0.25">
      <c r="A1" s="33" t="s">
        <v>338</v>
      </c>
      <c r="B1" s="33" t="s">
        <v>339</v>
      </c>
      <c r="C1" s="33" t="s">
        <v>336</v>
      </c>
      <c r="D1" s="33" t="s">
        <v>340</v>
      </c>
    </row>
    <row r="2" spans="1:7" x14ac:dyDescent="0.25">
      <c r="A2" s="33">
        <v>1500</v>
      </c>
      <c r="B2" s="33" t="s">
        <v>333</v>
      </c>
      <c r="C2" s="33">
        <f>IF(B2="Euro",A2/ES,IF(B2="Dolar",A2/DS,A2/SS))</f>
        <v>526.31578947368416</v>
      </c>
      <c r="D2" s="41">
        <f>IF(B2="Euro",A2-C2*ES,IF(B2="Dolar",A2-C2*DS,A2-C2*SS))</f>
        <v>0</v>
      </c>
      <c r="F2" s="71">
        <v>530</v>
      </c>
      <c r="G2" s="33" t="s">
        <v>342</v>
      </c>
    </row>
    <row r="3" spans="1:7" x14ac:dyDescent="0.25">
      <c r="A3" s="33">
        <v>2250</v>
      </c>
      <c r="B3" s="33" t="s">
        <v>334</v>
      </c>
      <c r="C3" s="33">
        <f>IF(B3="Euro",A3/ES,IF(B3="Dolar",A3/DS,A3/SS))</f>
        <v>626.74094707520896</v>
      </c>
      <c r="D3" s="41">
        <f>IF(B3="Euro",A3-C3*ES,IF(B3="Dolar",A3-C3*DS,A3-C3*SS))</f>
        <v>0</v>
      </c>
      <c r="F3" s="33">
        <v>640</v>
      </c>
      <c r="G3" s="33" t="s">
        <v>343</v>
      </c>
    </row>
    <row r="4" spans="1:7" x14ac:dyDescent="0.25">
      <c r="A4" s="33">
        <v>3500</v>
      </c>
      <c r="B4" s="33" t="s">
        <v>332</v>
      </c>
      <c r="C4" s="33">
        <f>IF(B4="Euro",A4/ES,IF(B4="Dolar",A4/DS,A4/SS))</f>
        <v>1643.192488262911</v>
      </c>
      <c r="D4" s="41">
        <f>IF(B4="Euro",A4-C4*ES,IF(B4="Dolar",A4-C4*DS,A4-C4*SS))</f>
        <v>0</v>
      </c>
      <c r="F4" s="33">
        <v>1650</v>
      </c>
      <c r="G4" s="33" t="s">
        <v>344</v>
      </c>
    </row>
    <row r="5" spans="1:7" x14ac:dyDescent="0.25">
      <c r="A5" s="33">
        <v>750</v>
      </c>
      <c r="B5" s="33" t="s">
        <v>333</v>
      </c>
      <c r="C5" s="33">
        <f>IF(B5="Euro",A5/ES,IF(B5="Dolar",A5/DS,A5/SS))</f>
        <v>263.15789473684208</v>
      </c>
      <c r="D5" s="41">
        <f>IF(B5="Euro",A5-C5*ES,IF(B5="Dolar",A5-C5*DS,A5-C5*SS))</f>
        <v>0</v>
      </c>
      <c r="F5" s="33">
        <v>265</v>
      </c>
      <c r="G5" s="33" t="s">
        <v>345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1" zoomScale="220" zoomScaleNormal="220" workbookViewId="0">
      <selection activeCell="B4" sqref="B4"/>
    </sheetView>
  </sheetViews>
  <sheetFormatPr defaultRowHeight="15" x14ac:dyDescent="0.25"/>
  <cols>
    <col min="1" max="1" width="14.140625" style="33" bestFit="1" customWidth="1"/>
    <col min="2" max="2" width="14" style="33" customWidth="1"/>
    <col min="3" max="3" width="11.7109375" style="33" customWidth="1"/>
    <col min="4" max="7" width="9.140625" style="33"/>
    <col min="8" max="8" width="10.42578125" style="33" bestFit="1" customWidth="1"/>
    <col min="9" max="16384" width="9.140625" style="33"/>
  </cols>
  <sheetData>
    <row r="1" spans="1:9" ht="24" x14ac:dyDescent="0.25">
      <c r="A1" s="72" t="s">
        <v>215</v>
      </c>
      <c r="B1" s="72" t="s">
        <v>351</v>
      </c>
      <c r="C1" s="72" t="s">
        <v>352</v>
      </c>
      <c r="D1" s="73" t="s">
        <v>353</v>
      </c>
      <c r="E1" s="73" t="s">
        <v>354</v>
      </c>
      <c r="F1" s="73" t="s">
        <v>355</v>
      </c>
      <c r="I1" s="74" t="s">
        <v>356</v>
      </c>
    </row>
    <row r="2" spans="1:9" x14ac:dyDescent="0.25">
      <c r="A2" s="75" t="s">
        <v>357</v>
      </c>
      <c r="B2" s="76">
        <v>0.4861111111111111</v>
      </c>
      <c r="C2" s="76">
        <v>0.51041666666666663</v>
      </c>
      <c r="D2" s="77">
        <f>IF(C2="","",C2-B2)</f>
        <v>2.4305555555555525E-2</v>
      </c>
      <c r="E2" s="78">
        <f>IF(C2="","",HOUR(D2)*60+MINUTE(D2))</f>
        <v>35</v>
      </c>
      <c r="F2" s="79">
        <f t="shared" ref="F2:F7" si="0">IF(C2="","",ROUND(IF(E2&lt;15,0.2,E2*DÜ),1))</f>
        <v>0.5</v>
      </c>
      <c r="H2" s="33" t="s">
        <v>191</v>
      </c>
      <c r="I2" s="33">
        <f>0.8/60</f>
        <v>1.3333333333333334E-2</v>
      </c>
    </row>
    <row r="3" spans="1:9" x14ac:dyDescent="0.25">
      <c r="A3" s="75" t="s">
        <v>358</v>
      </c>
      <c r="B3" s="76">
        <v>0.51041666666666663</v>
      </c>
      <c r="C3" s="76">
        <v>0.51736111111111105</v>
      </c>
      <c r="D3" s="77">
        <f t="shared" ref="D3:D7" si="1">IF(C3="","",C3-B3)</f>
        <v>6.9444444444444198E-3</v>
      </c>
      <c r="E3" s="78">
        <f t="shared" ref="E3:E7" si="2">IF(C3="","",HOUR(D3)*60+MINUTE(D3))</f>
        <v>10</v>
      </c>
      <c r="F3" s="79">
        <f t="shared" si="0"/>
        <v>0.2</v>
      </c>
      <c r="H3" s="33" t="s">
        <v>359</v>
      </c>
    </row>
    <row r="4" spans="1:9" x14ac:dyDescent="0.25">
      <c r="A4" s="75" t="s">
        <v>360</v>
      </c>
      <c r="B4" s="76">
        <v>0.52430555555555558</v>
      </c>
      <c r="C4" s="76">
        <v>0.57638888888888895</v>
      </c>
      <c r="D4" s="77">
        <f t="shared" si="1"/>
        <v>5.208333333333337E-2</v>
      </c>
      <c r="E4" s="78">
        <f t="shared" si="2"/>
        <v>75</v>
      </c>
      <c r="F4" s="79">
        <f t="shared" si="0"/>
        <v>1</v>
      </c>
      <c r="H4" s="33" t="str">
        <f>""</f>
        <v/>
      </c>
    </row>
    <row r="5" spans="1:9" x14ac:dyDescent="0.25">
      <c r="A5" s="75" t="s">
        <v>361</v>
      </c>
      <c r="B5" s="76">
        <v>0.57291666666666663</v>
      </c>
      <c r="C5" s="76">
        <v>0.65972222222222221</v>
      </c>
      <c r="D5" s="77">
        <f t="shared" si="1"/>
        <v>8.680555555555558E-2</v>
      </c>
      <c r="E5" s="78">
        <f t="shared" si="2"/>
        <v>125</v>
      </c>
      <c r="F5" s="79">
        <f t="shared" si="0"/>
        <v>1.7</v>
      </c>
    </row>
    <row r="6" spans="1:9" x14ac:dyDescent="0.25">
      <c r="A6" s="75" t="s">
        <v>362</v>
      </c>
      <c r="B6" s="76">
        <v>0.58333333333333337</v>
      </c>
      <c r="C6" s="76">
        <v>0.59722222222222221</v>
      </c>
      <c r="D6" s="77">
        <f t="shared" si="1"/>
        <v>1.388888888888884E-2</v>
      </c>
      <c r="E6" s="78">
        <f t="shared" si="2"/>
        <v>20</v>
      </c>
      <c r="F6" s="79">
        <f t="shared" si="0"/>
        <v>0.3</v>
      </c>
      <c r="H6" s="51">
        <v>145000</v>
      </c>
    </row>
    <row r="7" spans="1:9" x14ac:dyDescent="0.25">
      <c r="A7" s="75" t="s">
        <v>363</v>
      </c>
      <c r="B7" s="76">
        <v>0.63194444444444442</v>
      </c>
      <c r="C7" s="76">
        <v>0.67708333333333337</v>
      </c>
      <c r="D7" s="77">
        <f t="shared" si="1"/>
        <v>4.5138888888888951E-2</v>
      </c>
      <c r="E7" s="78">
        <f t="shared" si="2"/>
        <v>65</v>
      </c>
      <c r="F7" s="79">
        <f t="shared" si="0"/>
        <v>0.9</v>
      </c>
      <c r="H7" s="51">
        <v>42803</v>
      </c>
    </row>
    <row r="9" spans="1:9" x14ac:dyDescent="0.25">
      <c r="A9" s="80"/>
      <c r="B9" s="81"/>
      <c r="C9" s="81"/>
      <c r="D9" s="81"/>
      <c r="E9" s="81"/>
      <c r="F9" s="81"/>
      <c r="I9" s="76">
        <v>0.51041666666666663</v>
      </c>
    </row>
    <row r="10" spans="1:9" x14ac:dyDescent="0.25">
      <c r="A10" s="81"/>
      <c r="B10" s="81"/>
      <c r="C10" s="81"/>
      <c r="D10" s="81"/>
      <c r="E10" s="81"/>
      <c r="F10" s="81"/>
      <c r="I10" s="76">
        <v>0.51736111111111105</v>
      </c>
    </row>
    <row r="11" spans="1:9" x14ac:dyDescent="0.25">
      <c r="A11" s="81"/>
      <c r="B11" s="81"/>
      <c r="C11" s="81"/>
      <c r="D11" s="81"/>
      <c r="E11" s="81"/>
      <c r="F11" s="81"/>
      <c r="I11" s="76">
        <v>0.57638888888888895</v>
      </c>
    </row>
    <row r="12" spans="1:9" x14ac:dyDescent="0.25">
      <c r="A12" s="81"/>
      <c r="B12" s="81"/>
      <c r="C12" s="81"/>
      <c r="D12" s="81"/>
      <c r="E12" s="81"/>
      <c r="F12" s="81"/>
      <c r="I12" s="76">
        <v>0.65972222222222221</v>
      </c>
    </row>
    <row r="13" spans="1:9" x14ac:dyDescent="0.25">
      <c r="A13" s="81"/>
      <c r="B13" s="81"/>
      <c r="C13" s="81"/>
      <c r="D13" s="81"/>
      <c r="E13" s="81"/>
      <c r="F13" s="81"/>
      <c r="I13" s="76">
        <v>0.59722222222222221</v>
      </c>
    </row>
    <row r="14" spans="1:9" x14ac:dyDescent="0.25">
      <c r="A14" s="81"/>
      <c r="B14" s="81"/>
      <c r="C14" s="81"/>
      <c r="D14" s="81"/>
      <c r="E14" s="81"/>
      <c r="F14" s="81"/>
      <c r="I14" s="76">
        <v>0.67708333333333337</v>
      </c>
    </row>
    <row r="15" spans="1:9" x14ac:dyDescent="0.25">
      <c r="A15" s="81"/>
      <c r="B15" s="81"/>
      <c r="C15" s="81"/>
      <c r="D15" s="81"/>
      <c r="E15" s="81"/>
      <c r="F15" s="81"/>
    </row>
    <row r="16" spans="1:9" x14ac:dyDescent="0.25">
      <c r="A16" s="81"/>
      <c r="B16" s="81"/>
      <c r="C16" s="81"/>
      <c r="D16" s="81"/>
      <c r="E16" s="81"/>
      <c r="F16" s="81"/>
    </row>
    <row r="17" spans="1:6" x14ac:dyDescent="0.25">
      <c r="A17" s="81"/>
      <c r="B17" s="81"/>
      <c r="C17" s="81"/>
      <c r="D17" s="81"/>
      <c r="E17" s="81"/>
      <c r="F17" s="81"/>
    </row>
    <row r="18" spans="1:6" x14ac:dyDescent="0.25">
      <c r="A18" s="81"/>
      <c r="B18" s="81"/>
      <c r="C18" s="81"/>
      <c r="D18" s="81"/>
      <c r="E18" s="81"/>
      <c r="F18" s="81"/>
    </row>
    <row r="19" spans="1:6" x14ac:dyDescent="0.25">
      <c r="A19" s="81"/>
      <c r="B19" s="81"/>
      <c r="C19" s="81"/>
      <c r="D19" s="81"/>
      <c r="E19" s="81"/>
      <c r="F19" s="81"/>
    </row>
  </sheetData>
  <mergeCells count="1">
    <mergeCell ref="A9:F19"/>
  </mergeCells>
  <dataValidations count="2">
    <dataValidation type="time" operator="greaterThan" allowBlank="1" showErrorMessage="1" errorTitle="Hatalı Veri Girişi!" error="Bitiş saati  başlama saatinden büyük olmalıdır, lütfen düzeltiniz." sqref="I9:I14 C2:C7">
      <formula1>B2</formula1>
    </dataValidation>
    <dataValidation type="time" allowBlank="1" showErrorMessage="1" errorTitle="Hatalı Veri Girişi!" error="Bu alana sadece saat değerleri girilmelidir, lütfen düzeltiniz." sqref="B2:B7">
      <formula1>0</formula1>
      <formula2>0.999988425925926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D1" zoomScale="145" zoomScaleNormal="145" workbookViewId="0">
      <selection activeCell="B4" sqref="B4"/>
    </sheetView>
  </sheetViews>
  <sheetFormatPr defaultRowHeight="15" x14ac:dyDescent="0.25"/>
  <cols>
    <col min="1" max="1" width="13.42578125" style="33" bestFit="1" customWidth="1"/>
    <col min="2" max="2" width="11.85546875" style="33" bestFit="1" customWidth="1"/>
    <col min="3" max="3" width="13.85546875" style="33" bestFit="1" customWidth="1"/>
    <col min="4" max="4" width="10.5703125" style="33" bestFit="1" customWidth="1"/>
    <col min="5" max="5" width="9.140625" style="33"/>
    <col min="6" max="6" width="15.5703125" style="33" bestFit="1" customWidth="1"/>
    <col min="7" max="7" width="11.28515625" style="33" bestFit="1" customWidth="1"/>
    <col min="8" max="8" width="11.42578125" style="33" bestFit="1" customWidth="1"/>
    <col min="9" max="9" width="15.7109375" style="33" bestFit="1" customWidth="1"/>
    <col min="10" max="10" width="16.85546875" style="33" bestFit="1" customWidth="1"/>
    <col min="11" max="16384" width="9.140625" style="33"/>
  </cols>
  <sheetData>
    <row r="1" spans="1:10" ht="29.25" customHeight="1" x14ac:dyDescent="0.25">
      <c r="A1" s="82" t="s">
        <v>215</v>
      </c>
      <c r="B1" s="82" t="s">
        <v>364</v>
      </c>
      <c r="C1" s="82" t="s">
        <v>365</v>
      </c>
      <c r="D1" s="83" t="s">
        <v>366</v>
      </c>
      <c r="E1" s="84" t="s">
        <v>367</v>
      </c>
      <c r="F1" s="82" t="s">
        <v>368</v>
      </c>
      <c r="G1" s="83" t="s">
        <v>369</v>
      </c>
      <c r="H1" s="82" t="s">
        <v>370</v>
      </c>
      <c r="I1" s="82" t="s">
        <v>371</v>
      </c>
      <c r="J1" s="85" t="s">
        <v>372</v>
      </c>
    </row>
    <row r="2" spans="1:10" x14ac:dyDescent="0.25">
      <c r="A2" s="86" t="s">
        <v>373</v>
      </c>
      <c r="B2" s="87">
        <v>2</v>
      </c>
      <c r="C2" s="88">
        <v>39814</v>
      </c>
      <c r="D2" s="88">
        <v>39823</v>
      </c>
      <c r="E2" s="87" t="str">
        <f>IF(AND(B2&gt;0,B2&lt;3),"A",IF(AND(B2&gt;2,B2&lt;5),"B",IF(AND(B2&gt;4,B2&lt;9),"C","HATA!")))</f>
        <v>A</v>
      </c>
      <c r="F2" s="87">
        <f>D2-C2</f>
        <v>9</v>
      </c>
      <c r="G2" s="87">
        <v>120</v>
      </c>
      <c r="H2" s="87">
        <f>G2*1.6</f>
        <v>192</v>
      </c>
      <c r="I2" s="89">
        <f>IF(E2="A",(B2*F2*100+H2*5)*1.75,IF(E2="B",(B2*F2*300+H2*5)*1.75,(B2*F2*400+H2*5)*1.75))</f>
        <v>4830</v>
      </c>
      <c r="J2" s="90">
        <f>(IF(E2="A",100,IF(E2="B",300,400))*B2*F2+H2*5)*1.75</f>
        <v>4830</v>
      </c>
    </row>
    <row r="3" spans="1:10" x14ac:dyDescent="0.25">
      <c r="A3" s="86" t="s">
        <v>374</v>
      </c>
      <c r="B3" s="87">
        <v>4</v>
      </c>
      <c r="C3" s="88">
        <v>39828</v>
      </c>
      <c r="D3" s="88">
        <v>39831</v>
      </c>
      <c r="E3" s="87" t="str">
        <f t="shared" ref="E3:E5" si="0">IF(AND(B3&gt;0,B3&lt;3),"A",IF(AND(B3&gt;2,B3&lt;5),"B",IF(AND(B3&gt;4,B3&lt;9),"C","HATA!")))</f>
        <v>B</v>
      </c>
      <c r="F3" s="87">
        <f t="shared" ref="F3:F5" si="1">D3-C3</f>
        <v>3</v>
      </c>
      <c r="G3" s="87">
        <v>500</v>
      </c>
      <c r="H3" s="87">
        <f t="shared" ref="H3:H5" si="2">G3*1.6</f>
        <v>800</v>
      </c>
      <c r="I3" s="89">
        <f t="shared" ref="I3:I5" si="3">IF(E3="A",(B3*F3*100+H3*5)*1.75,IF(E3="B",(B3*F3*300+H3*5)*1.75,(B3*F3*400+H3*5)*1.75))</f>
        <v>13300</v>
      </c>
      <c r="J3" s="90">
        <f t="shared" ref="J3:J5" si="4">(IF(E3="A",100,IF(E3="B",300,400))*B3*F3+H3*5)*1.75</f>
        <v>13300</v>
      </c>
    </row>
    <row r="4" spans="1:10" x14ac:dyDescent="0.25">
      <c r="A4" s="86" t="s">
        <v>375</v>
      </c>
      <c r="B4" s="87">
        <v>8</v>
      </c>
      <c r="C4" s="88">
        <v>39831</v>
      </c>
      <c r="D4" s="88">
        <v>39835</v>
      </c>
      <c r="E4" s="87" t="str">
        <f t="shared" si="0"/>
        <v>C</v>
      </c>
      <c r="F4" s="87">
        <f t="shared" si="1"/>
        <v>4</v>
      </c>
      <c r="G4" s="87">
        <v>250</v>
      </c>
      <c r="H4" s="87">
        <f t="shared" si="2"/>
        <v>400</v>
      </c>
      <c r="I4" s="89">
        <f t="shared" si="3"/>
        <v>25900</v>
      </c>
      <c r="J4" s="90">
        <f t="shared" si="4"/>
        <v>25900</v>
      </c>
    </row>
    <row r="5" spans="1:10" x14ac:dyDescent="0.25">
      <c r="A5" s="86" t="s">
        <v>376</v>
      </c>
      <c r="B5" s="87">
        <v>1</v>
      </c>
      <c r="C5" s="88">
        <v>39835</v>
      </c>
      <c r="D5" s="88">
        <v>39838</v>
      </c>
      <c r="E5" s="87" t="str">
        <f t="shared" si="0"/>
        <v>A</v>
      </c>
      <c r="F5" s="87">
        <f t="shared" si="1"/>
        <v>3</v>
      </c>
      <c r="G5" s="87">
        <v>300</v>
      </c>
      <c r="H5" s="87">
        <f t="shared" si="2"/>
        <v>480</v>
      </c>
      <c r="I5" s="89">
        <f t="shared" si="3"/>
        <v>4725</v>
      </c>
      <c r="J5" s="90">
        <f t="shared" si="4"/>
        <v>4725</v>
      </c>
    </row>
    <row r="7" spans="1:10" x14ac:dyDescent="0.25">
      <c r="A7" s="91" t="s">
        <v>377</v>
      </c>
    </row>
    <row r="8" spans="1:10" ht="34.5" customHeight="1" x14ac:dyDescent="0.25">
      <c r="A8" s="82" t="s">
        <v>215</v>
      </c>
      <c r="B8" s="82" t="s">
        <v>364</v>
      </c>
      <c r="C8" s="82" t="s">
        <v>365</v>
      </c>
      <c r="D8" s="83" t="s">
        <v>366</v>
      </c>
      <c r="E8" s="84" t="s">
        <v>367</v>
      </c>
      <c r="F8" s="82" t="s">
        <v>368</v>
      </c>
      <c r="G8" s="83" t="s">
        <v>369</v>
      </c>
      <c r="H8" s="82" t="s">
        <v>370</v>
      </c>
      <c r="I8" s="82" t="s">
        <v>371</v>
      </c>
    </row>
    <row r="9" spans="1:10" x14ac:dyDescent="0.25">
      <c r="A9" s="86" t="s">
        <v>373</v>
      </c>
      <c r="B9" s="87">
        <v>2</v>
      </c>
      <c r="C9" s="88">
        <v>39814</v>
      </c>
      <c r="D9" s="88">
        <v>39823</v>
      </c>
      <c r="E9" s="92" t="s">
        <v>378</v>
      </c>
      <c r="F9" s="87">
        <v>9</v>
      </c>
      <c r="G9" s="87">
        <v>120</v>
      </c>
      <c r="H9" s="87">
        <v>192</v>
      </c>
      <c r="I9" s="93" t="s">
        <v>379</v>
      </c>
    </row>
    <row r="10" spans="1:10" x14ac:dyDescent="0.25">
      <c r="A10" s="86" t="s">
        <v>374</v>
      </c>
      <c r="B10" s="87">
        <v>4</v>
      </c>
      <c r="C10" s="88">
        <v>39828</v>
      </c>
      <c r="D10" s="88">
        <v>39831</v>
      </c>
      <c r="E10" s="92" t="s">
        <v>232</v>
      </c>
      <c r="F10" s="87">
        <v>3</v>
      </c>
      <c r="G10" s="87">
        <v>500</v>
      </c>
      <c r="H10" s="87">
        <v>800</v>
      </c>
      <c r="I10" s="93" t="s">
        <v>380</v>
      </c>
    </row>
    <row r="11" spans="1:10" x14ac:dyDescent="0.25">
      <c r="A11" s="86" t="s">
        <v>375</v>
      </c>
      <c r="B11" s="87">
        <v>8</v>
      </c>
      <c r="C11" s="88">
        <v>39831</v>
      </c>
      <c r="D11" s="88">
        <v>39835</v>
      </c>
      <c r="E11" s="92" t="s">
        <v>381</v>
      </c>
      <c r="F11" s="87">
        <v>4</v>
      </c>
      <c r="G11" s="87">
        <v>250</v>
      </c>
      <c r="H11" s="87">
        <v>400</v>
      </c>
      <c r="I11" s="93" t="s">
        <v>382</v>
      </c>
    </row>
    <row r="12" spans="1:10" x14ac:dyDescent="0.25">
      <c r="A12" s="86" t="s">
        <v>376</v>
      </c>
      <c r="B12" s="87">
        <v>1</v>
      </c>
      <c r="C12" s="88">
        <v>39835</v>
      </c>
      <c r="D12" s="88">
        <v>39838</v>
      </c>
      <c r="E12" s="92" t="s">
        <v>378</v>
      </c>
      <c r="F12" s="87">
        <v>3</v>
      </c>
      <c r="G12" s="87">
        <v>300</v>
      </c>
      <c r="H12" s="87">
        <v>480</v>
      </c>
      <c r="I12" s="93" t="s">
        <v>383</v>
      </c>
    </row>
    <row r="14" spans="1:10" x14ac:dyDescent="0.25">
      <c r="A14" s="94" t="s">
        <v>384</v>
      </c>
      <c r="B14" s="95"/>
      <c r="C14" s="95"/>
      <c r="D14" s="95"/>
      <c r="E14" s="95"/>
      <c r="F14" s="95"/>
      <c r="G14" s="95"/>
      <c r="H14" s="95"/>
      <c r="I14" s="95"/>
    </row>
    <row r="15" spans="1:10" x14ac:dyDescent="0.25">
      <c r="A15" s="95"/>
      <c r="B15" s="95"/>
      <c r="C15" s="95"/>
      <c r="D15" s="95"/>
      <c r="E15" s="95"/>
      <c r="F15" s="95"/>
      <c r="G15" s="95"/>
      <c r="H15" s="95"/>
      <c r="I15" s="95"/>
    </row>
    <row r="16" spans="1:10" x14ac:dyDescent="0.25">
      <c r="A16" s="95"/>
      <c r="B16" s="95"/>
      <c r="C16" s="95"/>
      <c r="D16" s="95"/>
      <c r="E16" s="95"/>
      <c r="F16" s="95"/>
      <c r="G16" s="95"/>
      <c r="H16" s="95"/>
      <c r="I16" s="95"/>
    </row>
    <row r="17" spans="1:9" x14ac:dyDescent="0.25">
      <c r="A17" s="95"/>
      <c r="B17" s="95"/>
      <c r="C17" s="95"/>
      <c r="D17" s="95"/>
      <c r="E17" s="95"/>
      <c r="F17" s="95"/>
      <c r="G17" s="95"/>
      <c r="H17" s="95"/>
      <c r="I17" s="95"/>
    </row>
    <row r="18" spans="1:9" x14ac:dyDescent="0.25">
      <c r="A18" s="95"/>
      <c r="B18" s="95"/>
      <c r="C18" s="95"/>
      <c r="D18" s="95"/>
      <c r="E18" s="95"/>
      <c r="F18" s="95"/>
      <c r="G18" s="95"/>
      <c r="H18" s="95"/>
      <c r="I18" s="95"/>
    </row>
    <row r="19" spans="1:9" x14ac:dyDescent="0.25">
      <c r="A19" s="95"/>
      <c r="B19" s="95"/>
      <c r="C19" s="95"/>
      <c r="D19" s="95"/>
      <c r="E19" s="95"/>
      <c r="F19" s="95"/>
      <c r="G19" s="95"/>
      <c r="H19" s="95"/>
      <c r="I19" s="95"/>
    </row>
    <row r="20" spans="1:9" x14ac:dyDescent="0.25">
      <c r="A20" s="95"/>
      <c r="B20" s="95"/>
      <c r="C20" s="95"/>
      <c r="D20" s="95"/>
      <c r="E20" s="95"/>
      <c r="F20" s="95"/>
      <c r="G20" s="95"/>
      <c r="H20" s="95"/>
      <c r="I20" s="95"/>
    </row>
    <row r="21" spans="1:9" x14ac:dyDescent="0.25">
      <c r="A21" s="95"/>
      <c r="B21" s="95"/>
      <c r="C21" s="95"/>
      <c r="D21" s="95"/>
      <c r="E21" s="95"/>
      <c r="F21" s="95"/>
      <c r="G21" s="95"/>
      <c r="H21" s="95"/>
      <c r="I21" s="95"/>
    </row>
  </sheetData>
  <mergeCells count="1">
    <mergeCell ref="A14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310" zoomScaleNormal="310" workbookViewId="0">
      <selection activeCell="B6" sqref="B6"/>
    </sheetView>
  </sheetViews>
  <sheetFormatPr defaultRowHeight="12.75" x14ac:dyDescent="0.2"/>
  <cols>
    <col min="2" max="2" width="10.140625" customWidth="1"/>
  </cols>
  <sheetData>
    <row r="1" spans="1:5" x14ac:dyDescent="0.2">
      <c r="A1" t="s">
        <v>144</v>
      </c>
      <c r="B1" t="s">
        <v>126</v>
      </c>
      <c r="C1" t="s">
        <v>145</v>
      </c>
      <c r="D1" t="s">
        <v>127</v>
      </c>
      <c r="E1" t="s">
        <v>105</v>
      </c>
    </row>
    <row r="2" spans="1:5" x14ac:dyDescent="0.2">
      <c r="A2" t="s">
        <v>128</v>
      </c>
      <c r="B2">
        <v>2000</v>
      </c>
      <c r="C2" t="s">
        <v>48</v>
      </c>
      <c r="D2">
        <v>14</v>
      </c>
      <c r="E2">
        <f t="shared" ref="E2:E7" si="0">birimfiyat*Miktar</f>
        <v>28000</v>
      </c>
    </row>
    <row r="3" spans="1:5" x14ac:dyDescent="0.2">
      <c r="C3" t="s">
        <v>49</v>
      </c>
      <c r="D3">
        <v>77</v>
      </c>
      <c r="E3">
        <f t="shared" si="0"/>
        <v>154000</v>
      </c>
    </row>
    <row r="4" spans="1:5" x14ac:dyDescent="0.2">
      <c r="C4" t="s">
        <v>50</v>
      </c>
      <c r="D4">
        <v>35</v>
      </c>
      <c r="E4">
        <f t="shared" si="0"/>
        <v>70000</v>
      </c>
    </row>
    <row r="5" spans="1:5" x14ac:dyDescent="0.2">
      <c r="C5" t="s">
        <v>146</v>
      </c>
      <c r="D5">
        <v>28</v>
      </c>
      <c r="E5">
        <f t="shared" si="0"/>
        <v>56000</v>
      </c>
    </row>
    <row r="6" spans="1:5" x14ac:dyDescent="0.2">
      <c r="C6" t="s">
        <v>147</v>
      </c>
      <c r="D6">
        <v>14</v>
      </c>
      <c r="E6">
        <f t="shared" si="0"/>
        <v>28000</v>
      </c>
    </row>
    <row r="7" spans="1:5" x14ac:dyDescent="0.2">
      <c r="C7" t="s">
        <v>148</v>
      </c>
      <c r="D7">
        <v>39</v>
      </c>
      <c r="E7">
        <f t="shared" si="0"/>
        <v>78000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265" zoomScaleNormal="265" workbookViewId="0">
      <selection activeCell="B10" sqref="B10"/>
    </sheetView>
  </sheetViews>
  <sheetFormatPr defaultRowHeight="12.75" x14ac:dyDescent="0.2"/>
  <cols>
    <col min="1" max="1" width="15.85546875" bestFit="1" customWidth="1"/>
    <col min="2" max="2" width="25.28515625" bestFit="1" customWidth="1"/>
    <col min="4" max="4" width="10.7109375" bestFit="1" customWidth="1"/>
  </cols>
  <sheetData>
    <row r="1" spans="1:4" x14ac:dyDescent="0.2">
      <c r="A1" t="s">
        <v>125</v>
      </c>
      <c r="B1" t="s">
        <v>126</v>
      </c>
      <c r="C1" t="s">
        <v>127</v>
      </c>
      <c r="D1" t="s">
        <v>105</v>
      </c>
    </row>
    <row r="2" spans="1:4" x14ac:dyDescent="0.2">
      <c r="A2" t="s">
        <v>128</v>
      </c>
      <c r="B2" s="24">
        <v>5000</v>
      </c>
      <c r="C2">
        <v>2</v>
      </c>
      <c r="D2" s="24">
        <f>B2*C2</f>
        <v>10000</v>
      </c>
    </row>
    <row r="3" spans="1:4" x14ac:dyDescent="0.2">
      <c r="A3" t="s">
        <v>129</v>
      </c>
      <c r="B3" s="24">
        <v>15000</v>
      </c>
      <c r="C3">
        <v>5</v>
      </c>
      <c r="D3" s="24">
        <f t="shared" ref="D3:D4" si="0">B3*C3</f>
        <v>75000</v>
      </c>
    </row>
    <row r="4" spans="1:4" x14ac:dyDescent="0.2">
      <c r="A4" t="s">
        <v>130</v>
      </c>
      <c r="B4" s="24">
        <v>1000</v>
      </c>
      <c r="C4">
        <v>5</v>
      </c>
      <c r="D4" s="24">
        <f t="shared" si="0"/>
        <v>5000</v>
      </c>
    </row>
    <row r="6" spans="1:4" ht="25.5" x14ac:dyDescent="0.35">
      <c r="B6" s="27" t="s">
        <v>131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D1" zoomScale="160" zoomScaleNormal="160" workbookViewId="0">
      <selection activeCell="I16" sqref="I16"/>
    </sheetView>
  </sheetViews>
  <sheetFormatPr defaultRowHeight="12.75" x14ac:dyDescent="0.2"/>
  <cols>
    <col min="1" max="1" width="11.85546875" customWidth="1"/>
    <col min="2" max="2" width="19.7109375" bestFit="1" customWidth="1"/>
    <col min="3" max="7" width="11.85546875" customWidth="1"/>
    <col min="9" max="9" width="27.42578125" style="1" customWidth="1"/>
    <col min="10" max="11" width="14.7109375" customWidth="1"/>
  </cols>
  <sheetData>
    <row r="1" spans="1:12" ht="25.5" customHeight="1" x14ac:dyDescent="0.2">
      <c r="A1" s="30" t="s">
        <v>51</v>
      </c>
      <c r="B1" s="30"/>
      <c r="C1" s="30"/>
      <c r="D1" s="30"/>
      <c r="E1" s="30"/>
      <c r="F1" s="30"/>
      <c r="G1" s="30"/>
    </row>
    <row r="2" spans="1:12" x14ac:dyDescent="0.2">
      <c r="A2" s="5" t="s">
        <v>0</v>
      </c>
      <c r="B2" s="5" t="s">
        <v>1</v>
      </c>
      <c r="C2" s="5" t="s">
        <v>2</v>
      </c>
      <c r="D2" s="5" t="s">
        <v>48</v>
      </c>
      <c r="E2" s="5" t="s">
        <v>49</v>
      </c>
      <c r="F2" s="5" t="s">
        <v>50</v>
      </c>
      <c r="G2" s="5" t="s">
        <v>47</v>
      </c>
    </row>
    <row r="3" spans="1:12" x14ac:dyDescent="0.2">
      <c r="A3" s="6" t="s">
        <v>7</v>
      </c>
      <c r="B3" s="3"/>
      <c r="C3" s="3"/>
      <c r="D3" s="7"/>
      <c r="E3" s="7"/>
      <c r="F3" s="7"/>
      <c r="G3" s="7"/>
    </row>
    <row r="4" spans="1:12" x14ac:dyDescent="0.2">
      <c r="A4" s="3"/>
      <c r="B4" s="2" t="s">
        <v>8</v>
      </c>
      <c r="C4" s="4" t="s">
        <v>9</v>
      </c>
      <c r="D4" s="8">
        <v>278</v>
      </c>
      <c r="E4" s="8">
        <v>437</v>
      </c>
      <c r="F4" s="8">
        <v>451</v>
      </c>
      <c r="G4" s="8">
        <f>D4+E4+F4</f>
        <v>1166</v>
      </c>
      <c r="J4" s="12"/>
    </row>
    <row r="5" spans="1:12" x14ac:dyDescent="0.2">
      <c r="A5" s="3"/>
      <c r="B5" s="2" t="s">
        <v>10</v>
      </c>
      <c r="C5" s="4" t="s">
        <v>11</v>
      </c>
      <c r="D5" s="8">
        <v>213</v>
      </c>
      <c r="E5" s="8">
        <v>222</v>
      </c>
      <c r="F5" s="8">
        <v>392</v>
      </c>
      <c r="G5" s="8">
        <f t="shared" ref="G5:G35" si="0">D5+E5+F5</f>
        <v>827</v>
      </c>
      <c r="I5" s="14" t="s">
        <v>60</v>
      </c>
    </row>
    <row r="6" spans="1:12" x14ac:dyDescent="0.2">
      <c r="A6" s="3"/>
      <c r="B6" s="2" t="s">
        <v>12</v>
      </c>
      <c r="C6" s="4" t="s">
        <v>13</v>
      </c>
      <c r="D6" s="8">
        <v>117</v>
      </c>
      <c r="E6" s="8">
        <v>119</v>
      </c>
      <c r="F6" s="8">
        <v>162</v>
      </c>
      <c r="G6" s="8">
        <f t="shared" si="0"/>
        <v>398</v>
      </c>
      <c r="I6" s="29">
        <f>AVERAGE(G4:G35)</f>
        <v>113.8125</v>
      </c>
    </row>
    <row r="7" spans="1:12" x14ac:dyDescent="0.2">
      <c r="A7" s="3"/>
      <c r="B7" s="2" t="s">
        <v>8</v>
      </c>
      <c r="C7" s="4" t="s">
        <v>4</v>
      </c>
      <c r="D7" s="8">
        <v>69</v>
      </c>
      <c r="E7" s="8">
        <v>154</v>
      </c>
      <c r="F7" s="8">
        <v>154</v>
      </c>
      <c r="G7" s="8">
        <f t="shared" si="0"/>
        <v>377</v>
      </c>
      <c r="I7" s="14" t="s">
        <v>61</v>
      </c>
    </row>
    <row r="8" spans="1:12" x14ac:dyDescent="0.2">
      <c r="A8" s="3"/>
      <c r="B8" s="2" t="s">
        <v>14</v>
      </c>
      <c r="C8" s="4" t="s">
        <v>15</v>
      </c>
      <c r="D8" s="8">
        <v>79</v>
      </c>
      <c r="E8" s="8">
        <v>106</v>
      </c>
      <c r="F8" s="8">
        <v>98</v>
      </c>
      <c r="G8" s="8">
        <f t="shared" si="0"/>
        <v>283</v>
      </c>
      <c r="I8" s="29">
        <f>MAX(D4:F35)</f>
        <v>451</v>
      </c>
    </row>
    <row r="9" spans="1:12" x14ac:dyDescent="0.2">
      <c r="A9" s="3"/>
      <c r="B9" s="2" t="s">
        <v>16</v>
      </c>
      <c r="C9" s="4" t="s">
        <v>17</v>
      </c>
      <c r="D9" s="8">
        <v>61</v>
      </c>
      <c r="E9" s="8">
        <v>50</v>
      </c>
      <c r="F9" s="8">
        <v>59</v>
      </c>
      <c r="G9" s="8">
        <f t="shared" si="0"/>
        <v>170</v>
      </c>
      <c r="I9" s="14" t="s">
        <v>62</v>
      </c>
    </row>
    <row r="10" spans="1:12" x14ac:dyDescent="0.2">
      <c r="A10" s="3"/>
      <c r="B10" s="2" t="s">
        <v>18</v>
      </c>
      <c r="C10" s="4" t="s">
        <v>19</v>
      </c>
      <c r="D10" s="8">
        <v>35</v>
      </c>
      <c r="E10" s="8">
        <v>44</v>
      </c>
      <c r="F10" s="8">
        <v>40</v>
      </c>
      <c r="G10" s="8">
        <f t="shared" si="0"/>
        <v>119</v>
      </c>
      <c r="I10" s="29">
        <f>MIN(D4:F35)</f>
        <v>0</v>
      </c>
    </row>
    <row r="11" spans="1:12" x14ac:dyDescent="0.2">
      <c r="A11" s="3"/>
      <c r="B11" s="2" t="s">
        <v>20</v>
      </c>
      <c r="C11" s="4" t="s">
        <v>21</v>
      </c>
      <c r="D11" s="8">
        <v>11</v>
      </c>
      <c r="E11" s="8">
        <v>20</v>
      </c>
      <c r="F11" s="8">
        <v>30</v>
      </c>
      <c r="G11" s="8">
        <f t="shared" si="0"/>
        <v>61</v>
      </c>
    </row>
    <row r="12" spans="1:12" x14ac:dyDescent="0.2">
      <c r="A12" s="3"/>
      <c r="B12" s="2" t="s">
        <v>22</v>
      </c>
      <c r="C12" s="4" t="s">
        <v>23</v>
      </c>
      <c r="D12" s="8">
        <v>11</v>
      </c>
      <c r="E12" s="8">
        <v>18</v>
      </c>
      <c r="F12" s="8">
        <v>20</v>
      </c>
      <c r="G12" s="8">
        <f t="shared" si="0"/>
        <v>49</v>
      </c>
    </row>
    <row r="13" spans="1:12" x14ac:dyDescent="0.2">
      <c r="A13" s="3"/>
      <c r="B13" s="2" t="s">
        <v>24</v>
      </c>
      <c r="C13" s="4" t="s">
        <v>25</v>
      </c>
      <c r="D13" s="8">
        <v>8</v>
      </c>
      <c r="E13" s="8">
        <v>9</v>
      </c>
      <c r="F13" s="8">
        <v>12</v>
      </c>
      <c r="G13" s="8">
        <f t="shared" si="0"/>
        <v>29</v>
      </c>
    </row>
    <row r="14" spans="1:12" ht="15" x14ac:dyDescent="0.25">
      <c r="A14" s="3"/>
      <c r="B14" s="2" t="s">
        <v>26</v>
      </c>
      <c r="C14" s="4" t="s">
        <v>27</v>
      </c>
      <c r="D14" s="8">
        <v>2</v>
      </c>
      <c r="E14" s="8">
        <v>5</v>
      </c>
      <c r="F14" s="8">
        <v>19</v>
      </c>
      <c r="G14" s="8">
        <f t="shared" si="0"/>
        <v>26</v>
      </c>
      <c r="J14" s="13" t="s">
        <v>52</v>
      </c>
      <c r="K14" s="13" t="s">
        <v>53</v>
      </c>
    </row>
    <row r="15" spans="1:12" x14ac:dyDescent="0.2">
      <c r="A15" s="3"/>
      <c r="B15" s="2" t="s">
        <v>28</v>
      </c>
      <c r="C15" s="4" t="s">
        <v>29</v>
      </c>
      <c r="D15" s="8">
        <v>5</v>
      </c>
      <c r="E15" s="8">
        <v>8</v>
      </c>
      <c r="F15" s="8">
        <v>4</v>
      </c>
      <c r="G15" s="8">
        <f t="shared" si="0"/>
        <v>17</v>
      </c>
      <c r="J15" s="12" t="s">
        <v>54</v>
      </c>
      <c r="K15" s="12" t="s">
        <v>168</v>
      </c>
    </row>
    <row r="16" spans="1:12" x14ac:dyDescent="0.2">
      <c r="A16" s="3"/>
      <c r="B16" s="2" t="s">
        <v>30</v>
      </c>
      <c r="C16" s="4" t="s">
        <v>5</v>
      </c>
      <c r="D16" s="8">
        <v>6</v>
      </c>
      <c r="E16" s="8">
        <v>3</v>
      </c>
      <c r="F16" s="8">
        <v>8</v>
      </c>
      <c r="G16" s="8">
        <f t="shared" si="0"/>
        <v>17</v>
      </c>
      <c r="I16" s="1">
        <v>13</v>
      </c>
      <c r="J16" s="12" t="s">
        <v>55</v>
      </c>
      <c r="K16" s="12" t="s">
        <v>56</v>
      </c>
      <c r="L16">
        <v>2</v>
      </c>
    </row>
    <row r="17" spans="1:11" x14ac:dyDescent="0.2">
      <c r="A17" s="3"/>
      <c r="B17" s="2" t="s">
        <v>31</v>
      </c>
      <c r="C17" s="4" t="s">
        <v>11</v>
      </c>
      <c r="D17" s="8">
        <v>15</v>
      </c>
      <c r="E17" s="8">
        <v>0</v>
      </c>
      <c r="F17" s="8">
        <v>0</v>
      </c>
      <c r="G17" s="8">
        <f t="shared" si="0"/>
        <v>15</v>
      </c>
      <c r="J17" s="12" t="s">
        <v>57</v>
      </c>
      <c r="K17" s="12" t="s">
        <v>58</v>
      </c>
    </row>
    <row r="18" spans="1:11" x14ac:dyDescent="0.2">
      <c r="A18" s="3"/>
      <c r="B18" s="2" t="s">
        <v>32</v>
      </c>
      <c r="C18" s="4" t="s">
        <v>25</v>
      </c>
      <c r="D18" s="8">
        <v>1</v>
      </c>
      <c r="E18" s="8">
        <v>4</v>
      </c>
      <c r="F18" s="8">
        <v>1</v>
      </c>
      <c r="G18" s="8">
        <f t="shared" si="0"/>
        <v>6</v>
      </c>
      <c r="J18" s="12" t="s">
        <v>59</v>
      </c>
      <c r="K18" s="12" t="s">
        <v>59</v>
      </c>
    </row>
    <row r="19" spans="1:11" x14ac:dyDescent="0.2">
      <c r="A19" s="3"/>
      <c r="B19" s="2" t="s">
        <v>33</v>
      </c>
      <c r="C19" s="4" t="s">
        <v>4</v>
      </c>
      <c r="D19" s="8">
        <v>0</v>
      </c>
      <c r="E19" s="8">
        <v>1</v>
      </c>
      <c r="F19" s="8">
        <v>4</v>
      </c>
      <c r="G19" s="8">
        <f t="shared" si="0"/>
        <v>5</v>
      </c>
    </row>
    <row r="20" spans="1:11" x14ac:dyDescent="0.2">
      <c r="A20" s="3"/>
      <c r="B20" s="2" t="s">
        <v>34</v>
      </c>
      <c r="C20" s="4" t="s">
        <v>35</v>
      </c>
      <c r="D20" s="8">
        <v>1</v>
      </c>
      <c r="E20" s="8">
        <v>2</v>
      </c>
      <c r="F20" s="8">
        <v>1</v>
      </c>
      <c r="G20" s="8">
        <f t="shared" si="0"/>
        <v>4</v>
      </c>
    </row>
    <row r="21" spans="1:11" x14ac:dyDescent="0.2">
      <c r="A21" s="3"/>
      <c r="B21" s="2" t="s">
        <v>12</v>
      </c>
      <c r="C21" s="4" t="s">
        <v>35</v>
      </c>
      <c r="D21" s="8">
        <v>0</v>
      </c>
      <c r="E21" s="8">
        <v>3</v>
      </c>
      <c r="F21" s="8">
        <v>0</v>
      </c>
      <c r="G21" s="8">
        <f t="shared" si="0"/>
        <v>3</v>
      </c>
    </row>
    <row r="22" spans="1:11" x14ac:dyDescent="0.2">
      <c r="A22" s="3"/>
      <c r="B22" s="2" t="s">
        <v>36</v>
      </c>
      <c r="C22" s="4" t="s">
        <v>37</v>
      </c>
      <c r="D22" s="8">
        <v>0</v>
      </c>
      <c r="E22" s="8">
        <v>4</v>
      </c>
      <c r="F22" s="8">
        <v>0</v>
      </c>
      <c r="G22" s="8">
        <f t="shared" si="0"/>
        <v>4</v>
      </c>
    </row>
    <row r="23" spans="1:11" x14ac:dyDescent="0.2">
      <c r="A23" s="3"/>
      <c r="B23" s="2" t="s">
        <v>38</v>
      </c>
      <c r="C23" s="4" t="s">
        <v>25</v>
      </c>
      <c r="D23" s="8">
        <v>7</v>
      </c>
      <c r="E23" s="8">
        <v>0</v>
      </c>
      <c r="F23" s="8">
        <v>0</v>
      </c>
      <c r="G23" s="8">
        <f t="shared" si="0"/>
        <v>7</v>
      </c>
    </row>
    <row r="24" spans="1:11" x14ac:dyDescent="0.2">
      <c r="A24" s="3"/>
      <c r="B24" s="2" t="s">
        <v>39</v>
      </c>
      <c r="C24" s="4" t="s">
        <v>5</v>
      </c>
      <c r="D24" s="8">
        <v>0</v>
      </c>
      <c r="E24" s="8">
        <v>18</v>
      </c>
      <c r="F24" s="8">
        <v>0</v>
      </c>
      <c r="G24" s="8">
        <f t="shared" si="0"/>
        <v>18</v>
      </c>
    </row>
    <row r="25" spans="1:11" x14ac:dyDescent="0.2">
      <c r="A25" s="3"/>
      <c r="B25" s="2" t="s">
        <v>40</v>
      </c>
      <c r="C25" s="4" t="s">
        <v>6</v>
      </c>
      <c r="D25" s="8">
        <v>1</v>
      </c>
      <c r="E25" s="8">
        <v>0</v>
      </c>
      <c r="F25" s="8">
        <v>0</v>
      </c>
      <c r="G25" s="8">
        <f t="shared" si="0"/>
        <v>1</v>
      </c>
    </row>
    <row r="26" spans="1:11" x14ac:dyDescent="0.2">
      <c r="A26" s="3"/>
      <c r="B26" s="2" t="s">
        <v>10</v>
      </c>
      <c r="C26" s="4" t="s">
        <v>29</v>
      </c>
      <c r="D26" s="8">
        <v>0</v>
      </c>
      <c r="E26" s="8">
        <v>0</v>
      </c>
      <c r="F26" s="8">
        <v>5</v>
      </c>
      <c r="G26" s="8">
        <f t="shared" si="0"/>
        <v>5</v>
      </c>
    </row>
    <row r="27" spans="1:11" x14ac:dyDescent="0.2">
      <c r="A27" s="3"/>
      <c r="B27" s="2" t="s">
        <v>41</v>
      </c>
      <c r="C27" s="4" t="s">
        <v>29</v>
      </c>
      <c r="D27" s="8">
        <v>1</v>
      </c>
      <c r="E27" s="8">
        <v>0</v>
      </c>
      <c r="F27" s="8">
        <v>0</v>
      </c>
      <c r="G27" s="8">
        <f t="shared" si="0"/>
        <v>1</v>
      </c>
    </row>
    <row r="28" spans="1:11" x14ac:dyDescent="0.2">
      <c r="A28" s="3"/>
      <c r="B28" s="2" t="s">
        <v>31</v>
      </c>
      <c r="C28" s="4" t="s">
        <v>29</v>
      </c>
      <c r="D28" s="8">
        <v>1</v>
      </c>
      <c r="E28" s="8">
        <v>3</v>
      </c>
      <c r="F28" s="8">
        <v>1</v>
      </c>
      <c r="G28" s="8">
        <f t="shared" si="0"/>
        <v>5</v>
      </c>
    </row>
    <row r="29" spans="1:11" x14ac:dyDescent="0.2">
      <c r="A29" s="3"/>
      <c r="B29" s="2" t="s">
        <v>12</v>
      </c>
      <c r="C29" s="4" t="s">
        <v>13</v>
      </c>
      <c r="D29" s="8">
        <v>4</v>
      </c>
      <c r="E29" s="8">
        <v>0</v>
      </c>
      <c r="F29" s="8">
        <v>0</v>
      </c>
      <c r="G29" s="8">
        <f t="shared" si="0"/>
        <v>4</v>
      </c>
    </row>
    <row r="30" spans="1:11" x14ac:dyDescent="0.2">
      <c r="A30" s="3"/>
      <c r="B30" s="2" t="s">
        <v>36</v>
      </c>
      <c r="C30" s="4" t="s">
        <v>19</v>
      </c>
      <c r="D30" s="8">
        <v>0</v>
      </c>
      <c r="E30" s="8">
        <v>1</v>
      </c>
      <c r="F30" s="8">
        <v>0</v>
      </c>
      <c r="G30" s="8">
        <f t="shared" si="0"/>
        <v>1</v>
      </c>
    </row>
    <row r="31" spans="1:11" x14ac:dyDescent="0.2">
      <c r="A31" s="3"/>
      <c r="B31" s="2" t="s">
        <v>42</v>
      </c>
      <c r="C31" s="4" t="s">
        <v>17</v>
      </c>
      <c r="D31" s="8">
        <v>0</v>
      </c>
      <c r="E31" s="8">
        <v>2</v>
      </c>
      <c r="F31" s="8">
        <v>1</v>
      </c>
      <c r="G31" s="8">
        <f t="shared" si="0"/>
        <v>3</v>
      </c>
    </row>
    <row r="32" spans="1:11" x14ac:dyDescent="0.2">
      <c r="A32" s="3"/>
      <c r="B32" s="2" t="s">
        <v>43</v>
      </c>
      <c r="C32" s="4" t="s">
        <v>17</v>
      </c>
      <c r="D32" s="8">
        <v>2</v>
      </c>
      <c r="E32" s="8">
        <v>0</v>
      </c>
      <c r="F32" s="8">
        <v>0</v>
      </c>
      <c r="G32" s="8">
        <f t="shared" si="0"/>
        <v>2</v>
      </c>
    </row>
    <row r="33" spans="1:7" x14ac:dyDescent="0.2">
      <c r="A33" s="3"/>
      <c r="B33" s="2" t="s">
        <v>44</v>
      </c>
      <c r="C33" s="4" t="s">
        <v>17</v>
      </c>
      <c r="D33" s="8">
        <v>0</v>
      </c>
      <c r="E33" s="8">
        <v>3</v>
      </c>
      <c r="F33" s="8">
        <v>0</v>
      </c>
      <c r="G33" s="8">
        <f t="shared" si="0"/>
        <v>3</v>
      </c>
    </row>
    <row r="34" spans="1:7" x14ac:dyDescent="0.2">
      <c r="A34" s="3"/>
      <c r="B34" s="2" t="s">
        <v>45</v>
      </c>
      <c r="C34" s="4" t="s">
        <v>17</v>
      </c>
      <c r="D34" s="8">
        <v>1</v>
      </c>
      <c r="E34" s="8">
        <v>1</v>
      </c>
      <c r="F34" s="8">
        <v>0</v>
      </c>
      <c r="G34" s="8">
        <f t="shared" si="0"/>
        <v>2</v>
      </c>
    </row>
    <row r="35" spans="1:7" x14ac:dyDescent="0.2">
      <c r="A35" s="3"/>
      <c r="B35" s="2" t="s">
        <v>46</v>
      </c>
      <c r="C35" s="4" t="s">
        <v>17</v>
      </c>
      <c r="D35" s="8">
        <v>2</v>
      </c>
      <c r="E35" s="8">
        <v>9</v>
      </c>
      <c r="F35" s="8">
        <v>3</v>
      </c>
      <c r="G35" s="8">
        <f t="shared" si="0"/>
        <v>14</v>
      </c>
    </row>
    <row r="36" spans="1:7" x14ac:dyDescent="0.2">
      <c r="A36" s="9"/>
      <c r="B36" s="9"/>
      <c r="C36" s="10" t="s">
        <v>3</v>
      </c>
      <c r="D36" s="28">
        <f>SUM(D4:D35)</f>
        <v>931</v>
      </c>
      <c r="E36" s="28">
        <f t="shared" ref="E36:G36" si="1">SUM(E4:E35)</f>
        <v>1246</v>
      </c>
      <c r="F36" s="28">
        <f t="shared" si="1"/>
        <v>1465</v>
      </c>
      <c r="G36" s="28">
        <f t="shared" si="1"/>
        <v>3642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205" zoomScaleNormal="205" workbookViewId="0">
      <selection activeCell="A17" sqref="A17"/>
    </sheetView>
  </sheetViews>
  <sheetFormatPr defaultRowHeight="12.75" x14ac:dyDescent="0.2"/>
  <cols>
    <col min="1" max="1" width="58.42578125" bestFit="1" customWidth="1"/>
    <col min="2" max="2" width="14.7109375" bestFit="1" customWidth="1"/>
    <col min="3" max="3" width="11.7109375" bestFit="1" customWidth="1"/>
  </cols>
  <sheetData>
    <row r="1" spans="1:3" ht="15" x14ac:dyDescent="0.25">
      <c r="A1" s="15" t="s">
        <v>63</v>
      </c>
      <c r="B1" t="s">
        <v>64</v>
      </c>
      <c r="C1">
        <v>123</v>
      </c>
    </row>
    <row r="2" spans="1:3" x14ac:dyDescent="0.2">
      <c r="A2" s="16" t="s">
        <v>65</v>
      </c>
      <c r="B2" t="s">
        <v>66</v>
      </c>
      <c r="C2" t="s">
        <v>67</v>
      </c>
    </row>
    <row r="3" spans="1:3" ht="15" x14ac:dyDescent="0.25">
      <c r="A3" s="17" t="s">
        <v>68</v>
      </c>
      <c r="B3" t="s">
        <v>69</v>
      </c>
      <c r="C3" t="s">
        <v>70</v>
      </c>
    </row>
    <row r="4" spans="1:3" ht="15" x14ac:dyDescent="0.25">
      <c r="A4" s="18" t="s">
        <v>71</v>
      </c>
      <c r="B4" t="s">
        <v>72</v>
      </c>
      <c r="C4" t="s">
        <v>73</v>
      </c>
    </row>
    <row r="5" spans="1:3" ht="15" x14ac:dyDescent="0.25">
      <c r="A5" s="17" t="s">
        <v>74</v>
      </c>
      <c r="B5" t="s">
        <v>75</v>
      </c>
      <c r="C5" t="s">
        <v>76</v>
      </c>
    </row>
    <row r="6" spans="1:3" ht="15" x14ac:dyDescent="0.25">
      <c r="A6" s="18" t="s">
        <v>77</v>
      </c>
      <c r="C6" t="s">
        <v>169</v>
      </c>
    </row>
    <row r="7" spans="1:3" ht="15" x14ac:dyDescent="0.25">
      <c r="A7" s="17" t="s">
        <v>78</v>
      </c>
    </row>
    <row r="8" spans="1:3" ht="15" x14ac:dyDescent="0.25">
      <c r="A8" s="19" t="s">
        <v>79</v>
      </c>
    </row>
    <row r="9" spans="1:3" ht="15" x14ac:dyDescent="0.25">
      <c r="A9" s="17" t="s">
        <v>80</v>
      </c>
    </row>
    <row r="10" spans="1:3" ht="15" x14ac:dyDescent="0.25">
      <c r="A10" s="19" t="s">
        <v>81</v>
      </c>
    </row>
    <row r="11" spans="1:3" ht="15" x14ac:dyDescent="0.25">
      <c r="A11" s="20" t="s">
        <v>82</v>
      </c>
    </row>
    <row r="12" spans="1:3" ht="15" x14ac:dyDescent="0.25">
      <c r="A12" s="19" t="s">
        <v>83</v>
      </c>
      <c r="B12">
        <f>POWER(2,8)</f>
        <v>256</v>
      </c>
      <c r="C12">
        <f>2^8</f>
        <v>256</v>
      </c>
    </row>
    <row r="13" spans="1:3" x14ac:dyDescent="0.2">
      <c r="B13">
        <f>POWER(8,2)</f>
        <v>64</v>
      </c>
      <c r="C13">
        <f>8^2</f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235" zoomScaleNormal="235" workbookViewId="0">
      <selection activeCell="B1" sqref="B1"/>
    </sheetView>
  </sheetViews>
  <sheetFormatPr defaultRowHeight="12.75" x14ac:dyDescent="0.2"/>
  <cols>
    <col min="1" max="1" width="71.140625" bestFit="1" customWidth="1"/>
  </cols>
  <sheetData>
    <row r="1" spans="1:2" ht="15" x14ac:dyDescent="0.25">
      <c r="A1" s="13" t="s">
        <v>84</v>
      </c>
      <c r="B1" t="s">
        <v>170</v>
      </c>
    </row>
    <row r="2" spans="1:2" ht="15" x14ac:dyDescent="0.25">
      <c r="A2" t="s">
        <v>85</v>
      </c>
      <c r="B2" t="s">
        <v>171</v>
      </c>
    </row>
    <row r="3" spans="1:2" ht="15" x14ac:dyDescent="0.25">
      <c r="A3" s="13" t="s">
        <v>86</v>
      </c>
      <c r="B3" t="s">
        <v>172</v>
      </c>
    </row>
    <row r="4" spans="1:2" ht="15" x14ac:dyDescent="0.25">
      <c r="A4" s="21" t="s">
        <v>87</v>
      </c>
    </row>
    <row r="5" spans="1:2" ht="15" x14ac:dyDescent="0.25">
      <c r="A5" s="22" t="s">
        <v>88</v>
      </c>
    </row>
    <row r="6" spans="1:2" ht="15" x14ac:dyDescent="0.25">
      <c r="A6" s="21" t="s">
        <v>89</v>
      </c>
    </row>
    <row r="7" spans="1:2" ht="15" x14ac:dyDescent="0.25">
      <c r="A7" s="22" t="s">
        <v>90</v>
      </c>
    </row>
    <row r="8" spans="1:2" ht="15" x14ac:dyDescent="0.25">
      <c r="A8" s="21" t="s">
        <v>91</v>
      </c>
    </row>
    <row r="9" spans="1:2" ht="15" x14ac:dyDescent="0.25">
      <c r="A9" s="22" t="s">
        <v>92</v>
      </c>
    </row>
    <row r="10" spans="1:2" ht="15" x14ac:dyDescent="0.25">
      <c r="A10" s="22" t="s">
        <v>93</v>
      </c>
    </row>
    <row r="11" spans="1:2" ht="15" x14ac:dyDescent="0.25">
      <c r="A11" s="22" t="s">
        <v>94</v>
      </c>
    </row>
    <row r="12" spans="1:2" ht="15" x14ac:dyDescent="0.25">
      <c r="A12" s="22" t="s">
        <v>95</v>
      </c>
      <c r="B12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205" zoomScaleNormal="205" workbookViewId="0">
      <selection activeCell="A37" sqref="A37"/>
    </sheetView>
  </sheetViews>
  <sheetFormatPr defaultRowHeight="12.75" x14ac:dyDescent="0.2"/>
  <cols>
    <col min="1" max="1" width="24.42578125" customWidth="1"/>
    <col min="2" max="2" width="20" bestFit="1" customWidth="1"/>
    <col min="3" max="3" width="13.140625" customWidth="1"/>
  </cols>
  <sheetData>
    <row r="1" spans="1:7" x14ac:dyDescent="0.2">
      <c r="A1" s="23" t="s">
        <v>97</v>
      </c>
      <c r="B1" s="23"/>
      <c r="C1" s="23"/>
      <c r="D1" s="23"/>
      <c r="E1" s="23"/>
      <c r="F1" s="23"/>
      <c r="G1" s="23"/>
    </row>
    <row r="2" spans="1:7" x14ac:dyDescent="0.2">
      <c r="A2" s="11" t="s">
        <v>143</v>
      </c>
      <c r="B2" t="s">
        <v>98</v>
      </c>
    </row>
    <row r="3" spans="1:7" x14ac:dyDescent="0.2">
      <c r="A3" t="s">
        <v>99</v>
      </c>
      <c r="B3" t="str">
        <f>IF(A3="başarılı","Gelmem","Gelirim")</f>
        <v>Gelmem</v>
      </c>
    </row>
    <row r="4" spans="1:7" x14ac:dyDescent="0.2">
      <c r="A4" t="s">
        <v>100</v>
      </c>
      <c r="B4" t="str">
        <f t="shared" ref="B4:B5" si="0">IF(A4="başarılı","Gelmem","Gelirim")</f>
        <v>Gelirim</v>
      </c>
    </row>
    <row r="5" spans="1:7" x14ac:dyDescent="0.2">
      <c r="A5" t="s">
        <v>99</v>
      </c>
      <c r="B5" t="str">
        <f t="shared" si="0"/>
        <v>Gelmem</v>
      </c>
    </row>
    <row r="6" spans="1:7" x14ac:dyDescent="0.2">
      <c r="A6" s="23" t="s">
        <v>101</v>
      </c>
      <c r="B6" s="23"/>
      <c r="C6" s="23"/>
      <c r="D6" s="23"/>
      <c r="E6" s="23"/>
      <c r="F6" s="23"/>
      <c r="G6" s="23"/>
    </row>
    <row r="7" spans="1:7" x14ac:dyDescent="0.2">
      <c r="A7" t="s">
        <v>102</v>
      </c>
      <c r="B7" t="s">
        <v>103</v>
      </c>
    </row>
    <row r="8" spans="1:7" x14ac:dyDescent="0.2">
      <c r="A8" s="24">
        <v>2.91</v>
      </c>
      <c r="B8" t="str">
        <f>IF(A8&lt;2.9,"Alırım","Beklerim")</f>
        <v>Beklerim</v>
      </c>
    </row>
    <row r="9" spans="1:7" x14ac:dyDescent="0.2">
      <c r="A9" s="24">
        <v>2.89</v>
      </c>
      <c r="B9" t="str">
        <f t="shared" ref="B9:B10" si="1">IF(A9&lt;2.9,"Alırım","Beklerim")</f>
        <v>Alırım</v>
      </c>
    </row>
    <row r="10" spans="1:7" x14ac:dyDescent="0.2">
      <c r="A10" s="24">
        <v>3.02</v>
      </c>
      <c r="B10" t="str">
        <f t="shared" si="1"/>
        <v>Beklerim</v>
      </c>
    </row>
    <row r="11" spans="1:7" x14ac:dyDescent="0.2">
      <c r="A11" s="23" t="s">
        <v>104</v>
      </c>
      <c r="B11" s="23"/>
      <c r="C11" s="23"/>
      <c r="D11" s="23"/>
      <c r="E11" s="23"/>
      <c r="F11" s="23"/>
      <c r="G11" s="23"/>
    </row>
    <row r="12" spans="1:7" x14ac:dyDescent="0.2">
      <c r="A12" t="s">
        <v>105</v>
      </c>
      <c r="B12" t="s">
        <v>106</v>
      </c>
    </row>
    <row r="13" spans="1:7" x14ac:dyDescent="0.2">
      <c r="A13" s="24">
        <v>3500</v>
      </c>
      <c r="B13">
        <f>IF(A13&gt;3000,A13*0.1,0)</f>
        <v>350</v>
      </c>
    </row>
    <row r="14" spans="1:7" x14ac:dyDescent="0.2">
      <c r="A14" s="24">
        <v>3250</v>
      </c>
      <c r="B14">
        <f t="shared" ref="B14:B15" si="2">IF(A14&gt;3000,A14*0.1,0)</f>
        <v>325</v>
      </c>
    </row>
    <row r="15" spans="1:7" x14ac:dyDescent="0.2">
      <c r="A15" s="24">
        <v>1800</v>
      </c>
      <c r="B15">
        <f t="shared" si="2"/>
        <v>0</v>
      </c>
    </row>
    <row r="16" spans="1:7" x14ac:dyDescent="0.2">
      <c r="A16" s="23" t="s">
        <v>107</v>
      </c>
      <c r="B16" s="23"/>
      <c r="C16" s="23"/>
      <c r="D16" s="23"/>
      <c r="E16" s="23"/>
      <c r="F16" s="23"/>
      <c r="G16" s="23"/>
    </row>
    <row r="17" spans="1:8" x14ac:dyDescent="0.2">
      <c r="A17" t="s">
        <v>108</v>
      </c>
      <c r="B17" t="s">
        <v>109</v>
      </c>
      <c r="C17" t="s">
        <v>110</v>
      </c>
    </row>
    <row r="18" spans="1:8" x14ac:dyDescent="0.2">
      <c r="A18" t="s">
        <v>111</v>
      </c>
      <c r="B18">
        <v>3000</v>
      </c>
      <c r="C18">
        <f>IF(OR(A18="Müdür",A18="Müdür Yrd."),B18*0.1,50)</f>
        <v>300</v>
      </c>
    </row>
    <row r="19" spans="1:8" x14ac:dyDescent="0.2">
      <c r="A19" t="s">
        <v>112</v>
      </c>
      <c r="B19">
        <v>2500</v>
      </c>
      <c r="C19">
        <f t="shared" ref="C19:C20" si="3">IF(OR(A19="Müdür",A19="Müdür Yrd."),B19*0.1,50)</f>
        <v>250</v>
      </c>
    </row>
    <row r="20" spans="1:8" x14ac:dyDescent="0.2">
      <c r="A20" t="s">
        <v>113</v>
      </c>
      <c r="B20">
        <v>1250</v>
      </c>
      <c r="C20">
        <f t="shared" si="3"/>
        <v>50</v>
      </c>
    </row>
    <row r="21" spans="1:8" x14ac:dyDescent="0.2">
      <c r="A21" s="23" t="s">
        <v>114</v>
      </c>
      <c r="B21" s="23"/>
      <c r="C21" s="23"/>
      <c r="D21" s="23"/>
      <c r="E21" s="23"/>
      <c r="F21" s="23"/>
      <c r="G21" s="23"/>
    </row>
    <row r="22" spans="1:8" x14ac:dyDescent="0.2">
      <c r="A22" t="s">
        <v>115</v>
      </c>
      <c r="B22" t="s">
        <v>116</v>
      </c>
      <c r="C22" t="s">
        <v>117</v>
      </c>
    </row>
    <row r="23" spans="1:8" x14ac:dyDescent="0.2">
      <c r="A23" t="s">
        <v>118</v>
      </c>
      <c r="B23">
        <v>28</v>
      </c>
      <c r="C23" t="str">
        <f>IF(AND(A23="Pazarlama",B23&gt;30),"Var","Yok")</f>
        <v>Yok</v>
      </c>
    </row>
    <row r="24" spans="1:8" x14ac:dyDescent="0.2">
      <c r="A24" t="s">
        <v>119</v>
      </c>
      <c r="B24">
        <v>22</v>
      </c>
      <c r="C24" t="str">
        <f t="shared" ref="C24:C26" si="4">IF(AND(A24="Pazarlama",B24&gt;30),"Var","Yok")</f>
        <v>Yok</v>
      </c>
    </row>
    <row r="25" spans="1:8" x14ac:dyDescent="0.2">
      <c r="A25" t="s">
        <v>120</v>
      </c>
      <c r="B25">
        <v>38</v>
      </c>
      <c r="C25" t="str">
        <f t="shared" si="4"/>
        <v>Yok</v>
      </c>
    </row>
    <row r="26" spans="1:8" x14ac:dyDescent="0.2">
      <c r="A26" t="s">
        <v>118</v>
      </c>
      <c r="B26">
        <v>35</v>
      </c>
      <c r="C26" t="str">
        <f t="shared" si="4"/>
        <v>Var</v>
      </c>
    </row>
    <row r="27" spans="1:8" x14ac:dyDescent="0.2">
      <c r="A27" s="25" t="s">
        <v>121</v>
      </c>
      <c r="B27" s="23"/>
      <c r="C27" s="23"/>
      <c r="D27" s="23"/>
      <c r="E27" s="23"/>
      <c r="F27" s="23"/>
      <c r="G27" s="23"/>
      <c r="H27" s="23"/>
    </row>
    <row r="28" spans="1:8" x14ac:dyDescent="0.2">
      <c r="A28" s="25" t="s">
        <v>122</v>
      </c>
      <c r="B28" s="23"/>
      <c r="C28" s="23"/>
      <c r="D28" s="23"/>
      <c r="E28" s="23"/>
      <c r="F28" s="23"/>
      <c r="G28" s="23"/>
      <c r="H28" s="23"/>
    </row>
    <row r="29" spans="1:8" x14ac:dyDescent="0.2">
      <c r="A29" t="s">
        <v>123</v>
      </c>
      <c r="B29" t="s">
        <v>124</v>
      </c>
    </row>
    <row r="30" spans="1:8" x14ac:dyDescent="0.2">
      <c r="A30">
        <v>500</v>
      </c>
      <c r="B30" t="str">
        <f>IF(A30=500,"Lenovo",IF(A30=700,"Huawei",IF(A30=1000,"HTC",IF(A30=1500,"Samsung",IF(A30=3350,"Blackberry","Henüz Para Gelmemiş")))))</f>
        <v>Lenovo</v>
      </c>
    </row>
    <row r="31" spans="1:8" x14ac:dyDescent="0.2">
      <c r="A31">
        <v>700</v>
      </c>
      <c r="B31" t="str">
        <f t="shared" ref="B31:B37" si="5">IF(A31=500,"Lenovo",IF(A31=700,"Huawei",IF(A31=1000,"HTC",IF(A31=1500,"Samsung",IF(A31=3350,"Blackberry","Henüz Para Gelmemiş")))))</f>
        <v>Huawei</v>
      </c>
    </row>
    <row r="32" spans="1:8" x14ac:dyDescent="0.2">
      <c r="A32">
        <v>1000</v>
      </c>
      <c r="B32" t="str">
        <f t="shared" si="5"/>
        <v>HTC</v>
      </c>
    </row>
    <row r="33" spans="1:2" x14ac:dyDescent="0.2">
      <c r="A33">
        <v>1500</v>
      </c>
      <c r="B33" t="str">
        <f t="shared" si="5"/>
        <v>Samsung</v>
      </c>
    </row>
    <row r="34" spans="1:2" x14ac:dyDescent="0.2">
      <c r="A34">
        <v>3350</v>
      </c>
      <c r="B34" t="str">
        <f t="shared" si="5"/>
        <v>Blackberry</v>
      </c>
    </row>
    <row r="35" spans="1:2" x14ac:dyDescent="0.2">
      <c r="A35">
        <v>1500</v>
      </c>
      <c r="B35" t="str">
        <f t="shared" si="5"/>
        <v>Samsung</v>
      </c>
    </row>
    <row r="36" spans="1:2" x14ac:dyDescent="0.2">
      <c r="A36">
        <v>3350</v>
      </c>
      <c r="B36" t="str">
        <f t="shared" si="5"/>
        <v>Blackberry</v>
      </c>
    </row>
    <row r="37" spans="1:2" x14ac:dyDescent="0.2">
      <c r="A37">
        <v>10</v>
      </c>
      <c r="B37" t="str">
        <f t="shared" si="5"/>
        <v>Henüz Para Gelmemiş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90" zoomScaleNormal="190" workbookViewId="0">
      <selection activeCell="C11" sqref="C11"/>
    </sheetView>
  </sheetViews>
  <sheetFormatPr defaultRowHeight="15" x14ac:dyDescent="0.25"/>
  <cols>
    <col min="1" max="1" width="12.85546875" style="33" customWidth="1"/>
    <col min="2" max="2" width="11.85546875" style="32" customWidth="1"/>
    <col min="3" max="3" width="30" style="33" customWidth="1"/>
    <col min="4" max="4" width="49.140625" style="33" customWidth="1"/>
    <col min="5" max="16384" width="9.140625" style="33"/>
  </cols>
  <sheetData>
    <row r="1" spans="1:6" x14ac:dyDescent="0.25">
      <c r="A1" s="31">
        <v>1578.3520000000001</v>
      </c>
    </row>
    <row r="2" spans="1:6" ht="30" x14ac:dyDescent="0.25">
      <c r="B2" s="34">
        <f>ROUNDDOWN(A1,2)</f>
        <v>1578.35</v>
      </c>
      <c r="C2" s="35" t="s">
        <v>173</v>
      </c>
      <c r="D2" s="36" t="s">
        <v>174</v>
      </c>
    </row>
    <row r="3" spans="1:6" ht="30" x14ac:dyDescent="0.25">
      <c r="B3" s="34">
        <f>ROUNDUP(A1,2)</f>
        <v>1578.36</v>
      </c>
      <c r="C3" s="35" t="s">
        <v>175</v>
      </c>
      <c r="D3" s="36" t="s">
        <v>176</v>
      </c>
    </row>
    <row r="4" spans="1:6" ht="45" x14ac:dyDescent="0.25">
      <c r="A4" s="33">
        <v>4.5</v>
      </c>
      <c r="B4" s="34">
        <f>ROUND(A1,0)</f>
        <v>1578</v>
      </c>
      <c r="C4" s="35" t="s">
        <v>177</v>
      </c>
      <c r="D4" s="36" t="s">
        <v>178</v>
      </c>
    </row>
    <row r="5" spans="1:6" x14ac:dyDescent="0.25">
      <c r="A5" s="33">
        <v>4.4000000000000004</v>
      </c>
      <c r="B5" s="37">
        <f>INT(A1)</f>
        <v>1578</v>
      </c>
      <c r="C5" s="35" t="s">
        <v>179</v>
      </c>
      <c r="D5" s="36" t="s">
        <v>180</v>
      </c>
    </row>
    <row r="6" spans="1:6" x14ac:dyDescent="0.25">
      <c r="B6" s="32">
        <f>ODD(A1)</f>
        <v>1579</v>
      </c>
      <c r="C6" s="35" t="s">
        <v>181</v>
      </c>
      <c r="D6" s="35" t="s">
        <v>182</v>
      </c>
      <c r="E6" s="38" t="s">
        <v>183</v>
      </c>
      <c r="F6" s="38"/>
    </row>
    <row r="7" spans="1:6" x14ac:dyDescent="0.25">
      <c r="B7" s="32">
        <f>EVEN(A1)</f>
        <v>1580</v>
      </c>
      <c r="C7" s="35" t="s">
        <v>184</v>
      </c>
      <c r="D7" s="35" t="s">
        <v>185</v>
      </c>
      <c r="E7" s="38"/>
      <c r="F7" s="38"/>
    </row>
    <row r="8" spans="1:6" x14ac:dyDescent="0.25">
      <c r="B8" s="32">
        <f>FLOOR(A1,100)</f>
        <v>1500</v>
      </c>
      <c r="C8" s="35" t="s">
        <v>186</v>
      </c>
      <c r="D8" s="36" t="s">
        <v>187</v>
      </c>
      <c r="E8" s="38"/>
      <c r="F8" s="38"/>
    </row>
    <row r="9" spans="1:6" x14ac:dyDescent="0.25">
      <c r="B9" s="32">
        <f>CEILING(A1,100)</f>
        <v>1600</v>
      </c>
      <c r="C9" s="35" t="s">
        <v>188</v>
      </c>
      <c r="D9" s="36" t="s">
        <v>189</v>
      </c>
      <c r="E9" s="38"/>
      <c r="F9" s="38"/>
    </row>
  </sheetData>
  <mergeCells count="1">
    <mergeCell ref="E6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27</vt:i4>
      </vt:variant>
      <vt:variant>
        <vt:lpstr>Adlandırılmış Aralıklar</vt:lpstr>
      </vt:variant>
      <vt:variant>
        <vt:i4>13</vt:i4>
      </vt:variant>
    </vt:vector>
  </HeadingPairs>
  <TitlesOfParts>
    <vt:vector size="40" baseType="lpstr">
      <vt:lpstr>Giriş</vt:lpstr>
      <vt:lpstr>Otomatik Doldurma</vt:lpstr>
      <vt:lpstr>Ad Tanımlama</vt:lpstr>
      <vt:lpstr>Değişikliklere Duyarlı</vt:lpstr>
      <vt:lpstr>Otomobil Satış</vt:lpstr>
      <vt:lpstr>Sayı Fonksiyonları I</vt:lpstr>
      <vt:lpstr>Mantıksal Fonksiyonlar</vt:lpstr>
      <vt:lpstr>Mantıksal Örnekler</vt:lpstr>
      <vt:lpstr>Sayı Fonksiyonları II</vt:lpstr>
      <vt:lpstr>Metin Fonksiyonları</vt:lpstr>
      <vt:lpstr>Miktar İndirim</vt:lpstr>
      <vt:lpstr>Müşteriye Göre</vt:lpstr>
      <vt:lpstr>Eş ve Çocuk Yardımı</vt:lpstr>
      <vt:lpstr>Eş ve Çocuk Yardımı (2)</vt:lpstr>
      <vt:lpstr>Eş ve Çocuk Yardımı (3)</vt:lpstr>
      <vt:lpstr>Tarih-Zaman Fonksiyonları</vt:lpstr>
      <vt:lpstr>Tarih-Zaman Sınama</vt:lpstr>
      <vt:lpstr>Ürün Türüne Göre KDV</vt:lpstr>
      <vt:lpstr>Ürün Türüne Göre KDV (2)</vt:lpstr>
      <vt:lpstr>Ürün Türüne Göre KDV (3)</vt:lpstr>
      <vt:lpstr>Döviz Kur</vt:lpstr>
      <vt:lpstr>Döviz Alış</vt:lpstr>
      <vt:lpstr>Döviz Satış</vt:lpstr>
      <vt:lpstr>Döviz Satış (2)</vt:lpstr>
      <vt:lpstr>Döviz Satış (3)</vt:lpstr>
      <vt:lpstr>İnternet Kafe</vt:lpstr>
      <vt:lpstr>Uçak Kiralama</vt:lpstr>
      <vt:lpstr>başlangıç</vt:lpstr>
      <vt:lpstr>birimfiyat</vt:lpstr>
      <vt:lpstr>bitiş</vt:lpstr>
      <vt:lpstr>DA</vt:lpstr>
      <vt:lpstr>DS</vt:lpstr>
      <vt:lpstr>DÜ</vt:lpstr>
      <vt:lpstr>EA</vt:lpstr>
      <vt:lpstr>ES</vt:lpstr>
      <vt:lpstr>inbaş</vt:lpstr>
      <vt:lpstr>inbit</vt:lpstr>
      <vt:lpstr>Miktar</vt:lpstr>
      <vt:lpstr>SA</vt:lpstr>
      <vt:lpstr>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Saadet Alpago</dc:creator>
  <cp:lastModifiedBy>Windows Kullanıcısı</cp:lastModifiedBy>
  <cp:lastPrinted>2016-04-05T07:38:26Z</cp:lastPrinted>
  <dcterms:created xsi:type="dcterms:W3CDTF">2016-04-05T07:25:45Z</dcterms:created>
  <dcterms:modified xsi:type="dcterms:W3CDTF">2017-03-16T20:28:45Z</dcterms:modified>
</cp:coreProperties>
</file>